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Информация" sheetId="2" r:id="rId1"/>
  </sheets>
  <definedNames>
    <definedName name="_xlnm.Print_Titles" localSheetId="0">Информация!$5:$7</definedName>
  </definedNames>
  <calcPr calcId="125725"/>
</workbook>
</file>

<file path=xl/calcChain.xml><?xml version="1.0" encoding="utf-8"?>
<calcChain xmlns="http://schemas.openxmlformats.org/spreadsheetml/2006/main">
  <c r="F91" i="2"/>
  <c r="F89"/>
  <c r="F88"/>
  <c r="F84"/>
  <c r="F83"/>
  <c r="F82"/>
  <c r="I81"/>
  <c r="H81"/>
  <c r="F81"/>
  <c r="F80"/>
  <c r="F79"/>
  <c r="J79" s="1"/>
  <c r="F78"/>
  <c r="F77"/>
  <c r="F76"/>
  <c r="F75"/>
  <c r="F74"/>
  <c r="F73"/>
  <c r="F71"/>
  <c r="F70"/>
  <c r="F69"/>
  <c r="F68"/>
  <c r="F67"/>
  <c r="F66"/>
  <c r="F65"/>
  <c r="I65" s="1"/>
  <c r="F64"/>
  <c r="F63"/>
  <c r="F62"/>
  <c r="F61"/>
  <c r="F60"/>
  <c r="F59"/>
  <c r="F58"/>
  <c r="F57"/>
  <c r="H57" s="1"/>
  <c r="F56"/>
  <c r="F55"/>
  <c r="F54"/>
  <c r="F53"/>
  <c r="H53" s="1"/>
  <c r="F52"/>
  <c r="F51"/>
  <c r="F50"/>
  <c r="H50" s="1"/>
  <c r="F47"/>
  <c r="F46"/>
  <c r="F45"/>
  <c r="F44"/>
  <c r="F43"/>
  <c r="F42"/>
  <c r="F41"/>
  <c r="F40"/>
  <c r="F39"/>
  <c r="F38"/>
  <c r="F36"/>
  <c r="F35"/>
  <c r="F34"/>
  <c r="F33"/>
  <c r="F32"/>
  <c r="F31"/>
  <c r="F30"/>
  <c r="F28"/>
  <c r="E91"/>
  <c r="E89"/>
  <c r="E88"/>
  <c r="E87"/>
  <c r="H87" s="1"/>
  <c r="E85"/>
  <c r="H85" s="1"/>
  <c r="E84"/>
  <c r="E83"/>
  <c r="E82"/>
  <c r="E81"/>
  <c r="E80"/>
  <c r="E79"/>
  <c r="E78"/>
  <c r="E77"/>
  <c r="E76"/>
  <c r="E75"/>
  <c r="E74"/>
  <c r="E73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8"/>
  <c r="F27"/>
  <c r="C26"/>
  <c r="J26" s="1"/>
  <c r="F26"/>
  <c r="F25"/>
  <c r="F24"/>
  <c r="H24" s="1"/>
  <c r="F23"/>
  <c r="F22"/>
  <c r="F21"/>
  <c r="F20"/>
  <c r="F19"/>
  <c r="F18"/>
  <c r="F17"/>
  <c r="F16"/>
  <c r="F15"/>
  <c r="F14"/>
  <c r="F13"/>
  <c r="F12"/>
  <c r="F11"/>
  <c r="F10"/>
  <c r="F8"/>
  <c r="E25"/>
  <c r="E24"/>
  <c r="E23"/>
  <c r="E22"/>
  <c r="E21"/>
  <c r="E20"/>
  <c r="E19"/>
  <c r="E18"/>
  <c r="E17"/>
  <c r="E15"/>
  <c r="E14"/>
  <c r="E13"/>
  <c r="E12"/>
  <c r="E11"/>
  <c r="E10"/>
  <c r="E8"/>
  <c r="C91"/>
  <c r="B91"/>
  <c r="C89"/>
  <c r="B89"/>
  <c r="C88"/>
  <c r="B88"/>
  <c r="B87"/>
  <c r="D87" s="1"/>
  <c r="B85"/>
  <c r="C84"/>
  <c r="B84"/>
  <c r="C83"/>
  <c r="B83"/>
  <c r="C82"/>
  <c r="B82"/>
  <c r="C80"/>
  <c r="B80"/>
  <c r="C79"/>
  <c r="B79"/>
  <c r="C78"/>
  <c r="B78"/>
  <c r="C77"/>
  <c r="B77"/>
  <c r="C76"/>
  <c r="B76"/>
  <c r="C75"/>
  <c r="B75"/>
  <c r="C74"/>
  <c r="B74"/>
  <c r="C73"/>
  <c r="B73"/>
  <c r="C72"/>
  <c r="B72"/>
  <c r="C71"/>
  <c r="B71"/>
  <c r="C70"/>
  <c r="B70"/>
  <c r="C69"/>
  <c r="B69"/>
  <c r="C68"/>
  <c r="B68"/>
  <c r="C67"/>
  <c r="B67"/>
  <c r="C66"/>
  <c r="D66" s="1"/>
  <c r="B66"/>
  <c r="C65"/>
  <c r="B65"/>
  <c r="C64"/>
  <c r="B64"/>
  <c r="C63"/>
  <c r="J63" s="1"/>
  <c r="B63"/>
  <c r="C62"/>
  <c r="B62"/>
  <c r="C61"/>
  <c r="D61" s="1"/>
  <c r="B61"/>
  <c r="C60"/>
  <c r="B60"/>
  <c r="C59"/>
  <c r="B59"/>
  <c r="C58"/>
  <c r="B58"/>
  <c r="C57"/>
  <c r="B57"/>
  <c r="C56"/>
  <c r="B56"/>
  <c r="C55"/>
  <c r="B55"/>
  <c r="C54"/>
  <c r="B54"/>
  <c r="C53"/>
  <c r="B53"/>
  <c r="C52"/>
  <c r="B52"/>
  <c r="C51"/>
  <c r="B51"/>
  <c r="C50"/>
  <c r="B50"/>
  <c r="C48"/>
  <c r="B48"/>
  <c r="C47"/>
  <c r="B47"/>
  <c r="C46"/>
  <c r="B46"/>
  <c r="C45"/>
  <c r="B45"/>
  <c r="C44"/>
  <c r="D44" s="1"/>
  <c r="B44"/>
  <c r="C43"/>
  <c r="B43"/>
  <c r="C42"/>
  <c r="B42"/>
  <c r="C41"/>
  <c r="D41" s="1"/>
  <c r="B41"/>
  <c r="C40"/>
  <c r="D40" s="1"/>
  <c r="B40"/>
  <c r="C39"/>
  <c r="I39" s="1"/>
  <c r="B39"/>
  <c r="C38"/>
  <c r="B38"/>
  <c r="B37"/>
  <c r="D37" s="1"/>
  <c r="C36"/>
  <c r="B36"/>
  <c r="C35"/>
  <c r="B35"/>
  <c r="C34"/>
  <c r="B34"/>
  <c r="C33"/>
  <c r="B33"/>
  <c r="C32"/>
  <c r="B32"/>
  <c r="C31"/>
  <c r="B31"/>
  <c r="C30"/>
  <c r="B30"/>
  <c r="C28"/>
  <c r="B28"/>
  <c r="C27"/>
  <c r="C25"/>
  <c r="B25"/>
  <c r="C24"/>
  <c r="B24"/>
  <c r="C23"/>
  <c r="B23"/>
  <c r="C22"/>
  <c r="B22"/>
  <c r="C21"/>
  <c r="B21"/>
  <c r="C20"/>
  <c r="B20"/>
  <c r="C19"/>
  <c r="B19"/>
  <c r="C18"/>
  <c r="B18"/>
  <c r="C17"/>
  <c r="B17"/>
  <c r="C16"/>
  <c r="C15"/>
  <c r="B15"/>
  <c r="C14"/>
  <c r="B14"/>
  <c r="C13"/>
  <c r="B13"/>
  <c r="C12"/>
  <c r="B12"/>
  <c r="C11"/>
  <c r="B11"/>
  <c r="C10"/>
  <c r="B10"/>
  <c r="C8"/>
  <c r="B8"/>
  <c r="D85"/>
  <c r="H45"/>
  <c r="J42"/>
  <c r="I47"/>
  <c r="H37"/>
  <c r="I87"/>
  <c r="I86"/>
  <c r="I85"/>
  <c r="I37"/>
  <c r="H82" l="1"/>
  <c r="J57"/>
  <c r="H39"/>
  <c r="H91"/>
  <c r="H68"/>
  <c r="H56"/>
  <c r="H52"/>
  <c r="J65"/>
  <c r="H31"/>
  <c r="I48"/>
  <c r="J70"/>
  <c r="H42"/>
  <c r="H46"/>
  <c r="H34"/>
  <c r="H36"/>
  <c r="I26"/>
  <c r="J21"/>
  <c r="D68"/>
  <c r="D72"/>
  <c r="J69"/>
  <c r="I73"/>
  <c r="D78"/>
  <c r="H18"/>
  <c r="D70"/>
  <c r="J62"/>
  <c r="J25"/>
  <c r="J38"/>
  <c r="J56"/>
  <c r="J54"/>
  <c r="J58"/>
  <c r="D64"/>
  <c r="I30"/>
  <c r="I33"/>
  <c r="D11"/>
  <c r="D15"/>
  <c r="I14"/>
  <c r="J18"/>
  <c r="J11"/>
  <c r="I15"/>
  <c r="D21"/>
  <c r="D8"/>
  <c r="I8"/>
  <c r="I13"/>
  <c r="J17"/>
  <c r="H19"/>
  <c r="H21"/>
  <c r="J19"/>
  <c r="I21"/>
  <c r="H74"/>
  <c r="J40"/>
  <c r="D74"/>
  <c r="J83"/>
  <c r="I19"/>
  <c r="J53"/>
  <c r="I72"/>
  <c r="J44"/>
  <c r="J67"/>
  <c r="J71"/>
  <c r="J75"/>
  <c r="D47"/>
  <c r="H23"/>
  <c r="I64"/>
  <c r="J15"/>
  <c r="I67"/>
  <c r="H8"/>
  <c r="J33"/>
  <c r="J8"/>
  <c r="J23"/>
  <c r="I25"/>
  <c r="I17"/>
  <c r="I20"/>
  <c r="I22"/>
  <c r="H40"/>
  <c r="I74"/>
  <c r="J60"/>
  <c r="I78"/>
  <c r="J13"/>
  <c r="D14"/>
  <c r="J10"/>
  <c r="J14"/>
  <c r="H22"/>
  <c r="J22"/>
  <c r="I23"/>
  <c r="J41"/>
  <c r="J59"/>
  <c r="D67"/>
  <c r="D71"/>
  <c r="D75"/>
  <c r="I68"/>
  <c r="J72"/>
  <c r="J76"/>
  <c r="H58"/>
  <c r="J78"/>
  <c r="I32"/>
  <c r="D62"/>
  <c r="J80"/>
  <c r="J64"/>
  <c r="I18"/>
  <c r="D12"/>
  <c r="H13"/>
  <c r="J12"/>
  <c r="J16"/>
  <c r="H20"/>
  <c r="J20"/>
  <c r="J74"/>
  <c r="D30"/>
  <c r="J39"/>
  <c r="J43"/>
  <c r="J47"/>
  <c r="J55"/>
  <c r="D65"/>
  <c r="D69"/>
  <c r="D73"/>
  <c r="J66"/>
  <c r="I70"/>
  <c r="I79"/>
  <c r="J84"/>
  <c r="I91"/>
  <c r="H89"/>
  <c r="J89"/>
  <c r="J88"/>
  <c r="H88"/>
  <c r="H84"/>
  <c r="I84"/>
  <c r="H83"/>
  <c r="I82"/>
  <c r="H80"/>
  <c r="I80"/>
  <c r="H79"/>
  <c r="H78"/>
  <c r="D91"/>
  <c r="J91"/>
  <c r="I89"/>
  <c r="D89"/>
  <c r="D88"/>
  <c r="I88"/>
  <c r="D84"/>
  <c r="D83"/>
  <c r="I83"/>
  <c r="J82"/>
  <c r="D82"/>
  <c r="D80"/>
  <c r="D79"/>
  <c r="H77"/>
  <c r="J77"/>
  <c r="I76"/>
  <c r="H76"/>
  <c r="I75"/>
  <c r="H75"/>
  <c r="J73"/>
  <c r="H73"/>
  <c r="I71"/>
  <c r="H71"/>
  <c r="H70"/>
  <c r="I69"/>
  <c r="H69"/>
  <c r="J68"/>
  <c r="H67"/>
  <c r="I66"/>
  <c r="H66"/>
  <c r="D77"/>
  <c r="I77"/>
  <c r="H65"/>
  <c r="D76"/>
  <c r="H64"/>
  <c r="I63"/>
  <c r="H63"/>
  <c r="H62"/>
  <c r="I61"/>
  <c r="H61"/>
  <c r="I60"/>
  <c r="H60"/>
  <c r="I59"/>
  <c r="H59"/>
  <c r="D63"/>
  <c r="I62"/>
  <c r="J61"/>
  <c r="D60"/>
  <c r="D59"/>
  <c r="I58"/>
  <c r="I57"/>
  <c r="I56"/>
  <c r="H55"/>
  <c r="I55"/>
  <c r="H54"/>
  <c r="I54"/>
  <c r="I53"/>
  <c r="J52"/>
  <c r="I52"/>
  <c r="D58"/>
  <c r="D57"/>
  <c r="D56"/>
  <c r="D55"/>
  <c r="D54"/>
  <c r="D53"/>
  <c r="D52"/>
  <c r="J51"/>
  <c r="D51"/>
  <c r="I50"/>
  <c r="D50"/>
  <c r="H51"/>
  <c r="I51"/>
  <c r="J50"/>
  <c r="H47"/>
  <c r="I46"/>
  <c r="I45"/>
  <c r="I44"/>
  <c r="H44"/>
  <c r="H43"/>
  <c r="I43"/>
  <c r="I42"/>
  <c r="I41"/>
  <c r="H41"/>
  <c r="I40"/>
  <c r="J46"/>
  <c r="D46"/>
  <c r="J45"/>
  <c r="D45"/>
  <c r="D43"/>
  <c r="D42"/>
  <c r="D39"/>
  <c r="H38"/>
  <c r="D38"/>
  <c r="I38"/>
  <c r="I36"/>
  <c r="D36"/>
  <c r="J36"/>
  <c r="H35"/>
  <c r="J35"/>
  <c r="D35"/>
  <c r="I35"/>
  <c r="J34"/>
  <c r="D34"/>
  <c r="I34"/>
  <c r="H33"/>
  <c r="D33"/>
  <c r="H32"/>
  <c r="J32"/>
  <c r="D32"/>
  <c r="J31"/>
  <c r="I31"/>
  <c r="D31"/>
  <c r="H30"/>
  <c r="J30"/>
  <c r="H28"/>
  <c r="I28"/>
  <c r="J28"/>
  <c r="D28"/>
  <c r="J27"/>
  <c r="I27"/>
  <c r="H25"/>
  <c r="D25"/>
  <c r="J24"/>
  <c r="D24"/>
  <c r="I24"/>
  <c r="D23"/>
  <c r="D22"/>
  <c r="D20"/>
  <c r="D19"/>
  <c r="H17"/>
  <c r="I16"/>
  <c r="H15"/>
  <c r="H14"/>
  <c r="I12"/>
  <c r="H12"/>
  <c r="H11"/>
  <c r="I11"/>
  <c r="H10"/>
  <c r="I10"/>
  <c r="D18"/>
  <c r="D17"/>
  <c r="D13"/>
  <c r="D10"/>
</calcChain>
</file>

<file path=xl/sharedStrings.xml><?xml version="1.0" encoding="utf-8"?>
<sst xmlns="http://schemas.openxmlformats.org/spreadsheetml/2006/main" count="110" uniqueCount="102">
  <si>
    <t>Наименование 
показателя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</si>
  <si>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</si>
  <si>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</si>
  <si>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</si>
  <si>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1</t>
  </si>
  <si>
    <t>6</t>
  </si>
  <si>
    <t>7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</si>
  <si>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</si>
  <si>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</si>
  <si>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</si>
  <si>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 НАЛОГИ НА СОВОКУПНЫЙ ДОХОД</t>
  </si>
  <si>
    <t xml:space="preserve">  НАЛОГИ НА ИМУЩЕСТВО</t>
  </si>
  <si>
    <t xml:space="preserve">  ГОСУДАРСТВЕННАЯ ПОШЛИНА</t>
  </si>
  <si>
    <t xml:space="preserve">  ЗАДОЛЖЕННОСТЬ И ПЕРЕРАСЧЕТЫ ПО ОТМЕНЕННЫМ НАЛОГАМ, СБОРАМ И ИНЫМ ОБЯЗАТЕЛЬНЫМ ПЛАТЕЖАМ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</si>
  <si>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</si>
  <si>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</si>
  <si>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</si>
  <si>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</si>
  <si>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ШТРАФЫ, САНКЦИИ, ВОЗМЕЩЕНИЕ УЩЕРБА</t>
  </si>
  <si>
    <t xml:space="preserve">  ПРОЧИЕ НЕНАЛОГОВЫЕ ДОХОДЫ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</si>
  <si>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</si>
  <si>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</si>
  <si>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</si>
  <si>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</si>
  <si>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</si>
  <si>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</si>
  <si>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</si>
  <si>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</si>
  <si>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</si>
  <si>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</si>
  <si>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</si>
  <si>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</si>
  <si>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Обеспечение проведения выборов и референдумов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</si>
  <si>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</si>
  <si>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</si>
  <si>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</si>
  <si>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</si>
  <si>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</si>
  <si>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</si>
  <si>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</si>
  <si>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</si>
  <si>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</si>
  <si>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Топливно-энергетический комплекс</t>
  </si>
  <si>
    <t xml:space="preserve">  Сельское хозяйство и рыболовство</t>
  </si>
  <si>
    <t xml:space="preserve">  Лесное хозяйство</t>
  </si>
  <si>
    <t xml:space="preserve">  Дорожное хозяйство (дорожные фонды)</t>
  </si>
  <si>
    <t xml:space="preserve">  Связь и информатика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</si>
  <si>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</si>
  <si>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</si>
  <si>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Жилищное хозяйство</t>
  </si>
  <si>
    <t xml:space="preserve">  Коммунальное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</si>
  <si>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</si>
  <si>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</si>
  <si>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ОХРАНА ОКРУЖАЮЩЕЙ СРЕДЫ</t>
  </si>
  <si>
    <t xml:space="preserve">  Другие вопросы в области охраны окружающей среды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</si>
  <si>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</si>
  <si>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</si>
  <si>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</si>
  <si>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</si>
  <si>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Профессиональная подготовка, переподготовка и повышение квалификации</t>
  </si>
  <si>
    <t xml:space="preserve">  Молодежная политика и оздоровление детей12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</si>
  <si>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</si>
  <si>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</si>
  <si>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</si>
  <si>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</si>
  <si>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</si>
  <si>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</si>
  <si>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обслуживание населения</t>
  </si>
  <si>
    <t xml:space="preserve">  Социальное обеспечение населения</t>
  </si>
  <si>
    <t xml:space="preserve">  Охрана семьи и детства</t>
  </si>
  <si>
    <t xml:space="preserve">  Другие вопросы в области социальной политики</t>
  </si>
  <si>
    <t xml:space="preserve">  ФИЗИЧЕСКАЯ КУЛЬТУРА И СПОРТ</t>
  </si>
  <si>
    <t xml:space="preserve">  Физическая культура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</si>
  <si>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</si>
  <si>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</si>
  <si>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</si>
  <si>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</si>
  <si>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</si>
  <si>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</si>
  <si>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</si>
  <si>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</si>
  <si>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</si>
  <si>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</si>
  <si>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</si>
  <si>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</si>
  <si>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</si>
  <si>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АКЦИЗЫ</t>
  </si>
  <si>
    <t xml:space="preserve">  НАЛОГИ НА  ДОХОДЫ ФИЗИЧЕСКИХ ЛИЦ</t>
  </si>
  <si>
    <t>5=4/3*100</t>
  </si>
  <si>
    <t>8=7/8*100</t>
  </si>
  <si>
    <t>% исполнения за 2018 год</t>
  </si>
  <si>
    <t>Отклонение</t>
  </si>
  <si>
    <t>темп роста</t>
  </si>
  <si>
    <t>9=7-4</t>
  </si>
  <si>
    <t>10=7/4*100</t>
  </si>
  <si>
    <t xml:space="preserve"> </t>
  </si>
  <si>
    <t>на 01.01.2020</t>
  </si>
  <si>
    <t>на 01.01.2021</t>
  </si>
  <si>
    <t>% исполнения за 2019 год</t>
  </si>
  <si>
    <t>Транспорт</t>
  </si>
  <si>
    <t>Телевидение и радиовещание</t>
  </si>
  <si>
    <t>Сопоставимая информация об исполнении консолидированного бюджета Всеволожского муниципального района Ленинградской области за 2019 год по отношению к 2018 году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</si>
</sst>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Arial"/>
      <family val="2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1"/>
    <xf numFmtId="0" fontId="7" fillId="0" borderId="3">
      <alignment horizontal="center"/>
    </xf>
    <xf numFmtId="0" fontId="7" fillId="0" borderId="4">
      <alignment horizontal="center"/>
    </xf>
    <xf numFmtId="0" fontId="4" fillId="0" borderId="5"/>
    <xf numFmtId="0" fontId="7" fillId="0" borderId="1">
      <alignment horizontal="center"/>
    </xf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1">
      <alignment horizontal="right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7" fillId="0" borderId="1">
      <alignment horizontal="right"/>
    </xf>
    <xf numFmtId="0" fontId="7" fillId="0" borderId="1"/>
    <xf numFmtId="0" fontId="7" fillId="0" borderId="1">
      <alignment horizontal="right"/>
    </xf>
    <xf numFmtId="0" fontId="7" fillId="0" borderId="6">
      <alignment horizontal="right"/>
    </xf>
    <xf numFmtId="164" fontId="7" fillId="0" borderId="9">
      <alignment horizontal="center"/>
    </xf>
    <xf numFmtId="164" fontId="7" fillId="0" borderId="1">
      <alignment horizontal="center"/>
    </xf>
    <xf numFmtId="49" fontId="7" fillId="0" borderId="1"/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49" fontId="7" fillId="0" borderId="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0" fontId="5" fillId="0" borderId="16"/>
    <xf numFmtId="0" fontId="1" fillId="0" borderId="1">
      <alignment horizontal="center"/>
    </xf>
    <xf numFmtId="49" fontId="7" fillId="0" borderId="17">
      <alignment horizontal="center" vertical="center" wrapText="1"/>
    </xf>
    <xf numFmtId="0" fontId="7" fillId="0" borderId="17">
      <alignment horizontal="center" vertical="center" wrapText="1"/>
    </xf>
    <xf numFmtId="49" fontId="7" fillId="0" borderId="4">
      <alignment horizontal="center" vertical="center" wrapText="1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17">
      <alignment horizontal="right"/>
    </xf>
    <xf numFmtId="4" fontId="7" fillId="0" borderId="18">
      <alignment horizontal="right"/>
    </xf>
    <xf numFmtId="0" fontId="7" fillId="0" borderId="21">
      <alignment horizontal="left" wrapText="1" indent="1"/>
    </xf>
    <xf numFmtId="49" fontId="7" fillId="0" borderId="22">
      <alignment horizontal="center" wrapText="1"/>
    </xf>
    <xf numFmtId="49" fontId="7" fillId="0" borderId="23">
      <alignment horizontal="center"/>
    </xf>
    <xf numFmtId="49" fontId="7" fillId="0" borderId="21">
      <alignment horizontal="center"/>
    </xf>
    <xf numFmtId="0" fontId="7" fillId="0" borderId="24">
      <alignment horizontal="left" wrapText="1" indent="2"/>
    </xf>
    <xf numFmtId="49" fontId="7" fillId="0" borderId="25">
      <alignment horizontal="center"/>
    </xf>
    <xf numFmtId="49" fontId="7" fillId="0" borderId="26">
      <alignment horizontal="center"/>
    </xf>
    <xf numFmtId="4" fontId="7" fillId="0" borderId="26">
      <alignment horizontal="right"/>
    </xf>
    <xf numFmtId="4" fontId="7" fillId="0" borderId="24">
      <alignment horizontal="right"/>
    </xf>
    <xf numFmtId="0" fontId="7" fillId="0" borderId="27"/>
    <xf numFmtId="0" fontId="7" fillId="2" borderId="27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1" fillId="0" borderId="1"/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8">
      <alignment horizontal="left" wrapText="1"/>
    </xf>
    <xf numFmtId="49" fontId="7" fillId="0" borderId="26">
      <alignment horizontal="center" wrapText="1"/>
    </xf>
    <xf numFmtId="0" fontId="7" fillId="0" borderId="24">
      <alignment horizontal="left" wrapText="1"/>
    </xf>
    <xf numFmtId="0" fontId="7" fillId="0" borderId="29">
      <alignment horizontal="left" wrapText="1" indent="1"/>
    </xf>
    <xf numFmtId="49" fontId="7" fillId="0" borderId="30">
      <alignment horizontal="center" wrapText="1"/>
    </xf>
    <xf numFmtId="49" fontId="7" fillId="0" borderId="17">
      <alignment horizontal="center"/>
    </xf>
    <xf numFmtId="49" fontId="7" fillId="0" borderId="18">
      <alignment horizontal="center"/>
    </xf>
    <xf numFmtId="0" fontId="7" fillId="0" borderId="31"/>
    <xf numFmtId="0" fontId="1" fillId="0" borderId="32">
      <alignment horizontal="left" wrapText="1"/>
    </xf>
    <xf numFmtId="0" fontId="7" fillId="0" borderId="33">
      <alignment horizontal="center" wrapText="1"/>
    </xf>
    <xf numFmtId="49" fontId="7" fillId="0" borderId="34">
      <alignment horizontal="center" wrapText="1"/>
    </xf>
    <xf numFmtId="4" fontId="7" fillId="0" borderId="20">
      <alignment horizontal="right"/>
    </xf>
    <xf numFmtId="0" fontId="1" fillId="0" borderId="35">
      <alignment horizontal="left" wrapText="1"/>
    </xf>
    <xf numFmtId="4" fontId="7" fillId="0" borderId="35">
      <alignment horizontal="right"/>
    </xf>
    <xf numFmtId="0" fontId="7" fillId="0" borderId="1">
      <alignment horizontal="center" wrapText="1"/>
    </xf>
    <xf numFmtId="0" fontId="1" fillId="0" borderId="2"/>
    <xf numFmtId="49" fontId="7" fillId="0" borderId="2">
      <alignment horizontal="left"/>
    </xf>
    <xf numFmtId="0" fontId="7" fillId="0" borderId="36">
      <alignment horizontal="left" wrapText="1"/>
    </xf>
    <xf numFmtId="0" fontId="7" fillId="0" borderId="37">
      <alignment horizontal="left" wrapText="1"/>
    </xf>
    <xf numFmtId="0" fontId="7" fillId="0" borderId="38">
      <alignment horizontal="left" wrapText="1"/>
    </xf>
    <xf numFmtId="0" fontId="7" fillId="0" borderId="39">
      <alignment horizontal="left" wrapText="1"/>
    </xf>
    <xf numFmtId="0" fontId="4" fillId="0" borderId="23"/>
    <xf numFmtId="0" fontId="4" fillId="0" borderId="21"/>
    <xf numFmtId="0" fontId="7" fillId="0" borderId="36">
      <alignment horizontal="left" wrapText="1" indent="1"/>
    </xf>
    <xf numFmtId="49" fontId="7" fillId="0" borderId="25">
      <alignment horizontal="center" wrapText="1"/>
    </xf>
    <xf numFmtId="0" fontId="7" fillId="0" borderId="37">
      <alignment horizontal="left" wrapText="1" indent="1"/>
    </xf>
    <xf numFmtId="0" fontId="7" fillId="0" borderId="38">
      <alignment horizontal="left" wrapText="1" indent="2"/>
    </xf>
    <xf numFmtId="0" fontId="7" fillId="0" borderId="39">
      <alignment horizontal="left" wrapText="1" indent="2"/>
    </xf>
    <xf numFmtId="0" fontId="7" fillId="0" borderId="37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 shrinkToFit="1"/>
    </xf>
    <xf numFmtId="0" fontId="10" fillId="0" borderId="40">
      <alignment horizontal="center" vertical="center" textRotation="90" wrapText="1"/>
    </xf>
    <xf numFmtId="0" fontId="7" fillId="0" borderId="17">
      <alignment horizontal="center" vertical="top" wrapText="1"/>
    </xf>
    <xf numFmtId="0" fontId="7" fillId="0" borderId="17">
      <alignment horizontal="center" vertical="top"/>
    </xf>
    <xf numFmtId="49" fontId="7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39">
      <alignment horizontal="left" vertical="center" wrapText="1" indent="2"/>
    </xf>
    <xf numFmtId="49" fontId="7" fillId="0" borderId="22">
      <alignment horizontal="center" vertical="center" wrapText="1"/>
    </xf>
    <xf numFmtId="0" fontId="7" fillId="0" borderId="23"/>
    <xf numFmtId="4" fontId="7" fillId="0" borderId="23">
      <alignment horizontal="right"/>
    </xf>
    <xf numFmtId="4" fontId="7" fillId="0" borderId="21">
      <alignment horizontal="right"/>
    </xf>
    <xf numFmtId="49" fontId="7" fillId="0" borderId="37">
      <alignment horizontal="left" vertical="center" wrapText="1" indent="3"/>
    </xf>
    <xf numFmtId="49" fontId="7" fillId="0" borderId="25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3">
      <alignment horizontal="center" vertical="center" wrapText="1"/>
    </xf>
    <xf numFmtId="4" fontId="7" fillId="0" borderId="13">
      <alignment horizontal="right"/>
    </xf>
    <xf numFmtId="0" fontId="4" fillId="0" borderId="13"/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1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7" fillId="0" borderId="21"/>
    <xf numFmtId="49" fontId="7" fillId="0" borderId="44">
      <alignment horizontal="center" vertical="center" wrapText="1"/>
    </xf>
    <xf numFmtId="4" fontId="7" fillId="0" borderId="4">
      <alignment horizontal="right"/>
    </xf>
    <xf numFmtId="4" fontId="7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7" fillId="0" borderId="19">
      <alignment horizontal="center" vertical="center"/>
    </xf>
    <xf numFmtId="0" fontId="7" fillId="0" borderId="42">
      <alignment horizontal="left" vertical="center" wrapText="1"/>
    </xf>
    <xf numFmtId="0" fontId="7" fillId="0" borderId="22">
      <alignment horizontal="center" vertical="center"/>
    </xf>
    <xf numFmtId="0" fontId="7" fillId="0" borderId="25">
      <alignment horizontal="center" vertical="center"/>
    </xf>
    <xf numFmtId="0" fontId="7" fillId="0" borderId="30">
      <alignment horizontal="center" vertical="center"/>
    </xf>
    <xf numFmtId="0" fontId="7" fillId="0" borderId="43">
      <alignment horizontal="left" vertical="center" wrapText="1"/>
    </xf>
    <xf numFmtId="49" fontId="11" fillId="0" borderId="46">
      <alignment horizontal="left" vertical="center" wrapText="1"/>
    </xf>
    <xf numFmtId="49" fontId="7" fillId="0" borderId="20">
      <alignment horizontal="center" vertical="center"/>
    </xf>
    <xf numFmtId="49" fontId="7" fillId="0" borderId="47">
      <alignment horizontal="left" vertical="center" wrapText="1"/>
    </xf>
    <xf numFmtId="49" fontId="7" fillId="0" borderId="23">
      <alignment horizontal="center" vertical="center"/>
    </xf>
    <xf numFmtId="49" fontId="7" fillId="0" borderId="26">
      <alignment horizontal="center" vertical="center"/>
    </xf>
    <xf numFmtId="49" fontId="7" fillId="0" borderId="17">
      <alignment horizontal="center" vertical="center"/>
    </xf>
    <xf numFmtId="49" fontId="7" fillId="0" borderId="48">
      <alignment horizontal="left" vertical="center" wrapText="1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45">
    <xf numFmtId="0" fontId="0" fillId="0" borderId="0" xfId="0"/>
    <xf numFmtId="0" fontId="21" fillId="4" borderId="0" xfId="0" applyFont="1" applyFill="1" applyProtection="1">
      <protection locked="0"/>
    </xf>
    <xf numFmtId="49" fontId="20" fillId="4" borderId="50" xfId="39" applyFont="1" applyFill="1" applyBorder="1" applyProtection="1">
      <alignment horizontal="center" vertical="center" wrapText="1"/>
    </xf>
    <xf numFmtId="49" fontId="20" fillId="4" borderId="49" xfId="39" applyFont="1" applyFill="1" applyBorder="1" applyProtection="1">
      <alignment horizontal="center" vertical="center" wrapText="1"/>
    </xf>
    <xf numFmtId="0" fontId="20" fillId="4" borderId="49" xfId="10" applyNumberFormat="1" applyFont="1" applyFill="1" applyBorder="1" applyProtection="1"/>
    <xf numFmtId="0" fontId="20" fillId="4" borderId="51" xfId="40" applyNumberFormat="1" applyFont="1" applyFill="1" applyBorder="1" applyProtection="1">
      <alignment horizontal="center" vertical="center" wrapText="1"/>
    </xf>
    <xf numFmtId="0" fontId="20" fillId="4" borderId="49" xfId="40" applyNumberFormat="1" applyFont="1" applyFill="1" applyBorder="1" applyProtection="1">
      <alignment horizontal="center" vertical="center" wrapText="1"/>
    </xf>
    <xf numFmtId="0" fontId="20" fillId="4" borderId="52" xfId="6" applyNumberFormat="1" applyFont="1" applyFill="1" applyBorder="1" applyProtection="1"/>
    <xf numFmtId="0" fontId="21" fillId="4" borderId="52" xfId="0" applyFont="1" applyFill="1" applyBorder="1" applyProtection="1">
      <protection locked="0"/>
    </xf>
    <xf numFmtId="49" fontId="21" fillId="4" borderId="1" xfId="0" applyNumberFormat="1" applyFont="1" applyFill="1" applyBorder="1" applyProtection="1">
      <protection locked="0"/>
    </xf>
    <xf numFmtId="49" fontId="20" fillId="4" borderId="49" xfId="41" applyFont="1" applyFill="1" applyBorder="1" applyProtection="1">
      <alignment horizontal="center" vertical="center" wrapText="1"/>
    </xf>
    <xf numFmtId="49" fontId="21" fillId="4" borderId="49" xfId="0" applyNumberFormat="1" applyFont="1" applyFill="1" applyBorder="1" applyProtection="1">
      <protection locked="0"/>
    </xf>
    <xf numFmtId="0" fontId="20" fillId="4" borderId="49" xfId="42" applyNumberFormat="1" applyFont="1" applyFill="1" applyBorder="1" applyProtection="1">
      <alignment horizontal="left" wrapText="1"/>
    </xf>
    <xf numFmtId="4" fontId="20" fillId="4" borderId="49" xfId="45" applyFont="1" applyFill="1" applyBorder="1" applyProtection="1">
      <alignment horizontal="right"/>
    </xf>
    <xf numFmtId="0" fontId="20" fillId="4" borderId="49" xfId="17" applyNumberFormat="1" applyFont="1" applyFill="1" applyBorder="1" applyProtection="1"/>
    <xf numFmtId="2" fontId="20" fillId="4" borderId="49" xfId="17" applyNumberFormat="1" applyFont="1" applyFill="1" applyBorder="1" applyProtection="1"/>
    <xf numFmtId="4" fontId="21" fillId="4" borderId="49" xfId="0" applyNumberFormat="1" applyFont="1" applyFill="1" applyBorder="1" applyProtection="1">
      <protection locked="0"/>
    </xf>
    <xf numFmtId="2" fontId="21" fillId="4" borderId="49" xfId="0" applyNumberFormat="1" applyFont="1" applyFill="1" applyBorder="1" applyProtection="1">
      <protection locked="0"/>
    </xf>
    <xf numFmtId="0" fontId="20" fillId="4" borderId="49" xfId="47" applyNumberFormat="1" applyFont="1" applyFill="1" applyBorder="1" applyProtection="1">
      <alignment horizontal="left" wrapText="1" indent="1"/>
    </xf>
    <xf numFmtId="49" fontId="20" fillId="4" borderId="49" xfId="49" applyFont="1" applyFill="1" applyBorder="1" applyProtection="1">
      <alignment horizontal="center"/>
    </xf>
    <xf numFmtId="0" fontId="20" fillId="4" borderId="49" xfId="51" applyNumberFormat="1" applyFont="1" applyFill="1" applyBorder="1" applyProtection="1">
      <alignment horizontal="left" wrapText="1" indent="2"/>
    </xf>
    <xf numFmtId="4" fontId="20" fillId="4" borderId="49" xfId="54" applyFont="1" applyFill="1" applyBorder="1" applyProtection="1">
      <alignment horizontal="right"/>
    </xf>
    <xf numFmtId="0" fontId="17" fillId="4" borderId="49" xfId="66" applyNumberFormat="1" applyFont="1" applyFill="1" applyBorder="1" applyProtection="1">
      <alignment horizontal="left" wrapText="1"/>
    </xf>
    <xf numFmtId="4" fontId="17" fillId="4" borderId="49" xfId="54" applyFont="1" applyFill="1" applyBorder="1" applyProtection="1">
      <alignment horizontal="right"/>
    </xf>
    <xf numFmtId="0" fontId="18" fillId="4" borderId="49" xfId="0" applyFont="1" applyFill="1" applyBorder="1" applyProtection="1">
      <protection locked="0"/>
    </xf>
    <xf numFmtId="0" fontId="18" fillId="4" borderId="0" xfId="0" applyFont="1" applyFill="1" applyProtection="1">
      <protection locked="0"/>
    </xf>
    <xf numFmtId="0" fontId="17" fillId="4" borderId="49" xfId="69" applyNumberFormat="1" applyFont="1" applyFill="1" applyBorder="1" applyProtection="1">
      <alignment horizontal="left" wrapText="1" indent="1"/>
    </xf>
    <xf numFmtId="49" fontId="17" fillId="4" borderId="49" xfId="71" applyFont="1" applyFill="1" applyBorder="1" applyProtection="1">
      <alignment horizontal="center"/>
    </xf>
    <xf numFmtId="0" fontId="17" fillId="4" borderId="49" xfId="51" applyNumberFormat="1" applyFont="1" applyFill="1" applyBorder="1" applyProtection="1">
      <alignment horizontal="left" wrapText="1" indent="2"/>
    </xf>
    <xf numFmtId="0" fontId="19" fillId="4" borderId="49" xfId="74" applyNumberFormat="1" applyFont="1" applyFill="1" applyBorder="1" applyProtection="1">
      <alignment horizontal="left" wrapText="1"/>
    </xf>
    <xf numFmtId="4" fontId="20" fillId="4" borderId="49" xfId="77" applyFont="1" applyFill="1" applyBorder="1" applyProtection="1">
      <alignment horizontal="right"/>
    </xf>
    <xf numFmtId="0" fontId="20" fillId="4" borderId="49" xfId="83" applyNumberFormat="1" applyFont="1" applyFill="1" applyBorder="1" applyProtection="1">
      <alignment horizontal="left" wrapText="1"/>
    </xf>
    <xf numFmtId="0" fontId="21" fillId="4" borderId="49" xfId="0" applyFont="1" applyFill="1" applyBorder="1" applyProtection="1">
      <protection locked="0"/>
    </xf>
    <xf numFmtId="0" fontId="20" fillId="4" borderId="49" xfId="85" applyNumberFormat="1" applyFont="1" applyFill="1" applyBorder="1" applyProtection="1">
      <alignment horizontal="left" wrapText="1"/>
    </xf>
    <xf numFmtId="0" fontId="20" fillId="4" borderId="49" xfId="89" applyNumberFormat="1" applyFont="1" applyFill="1" applyBorder="1" applyProtection="1">
      <alignment horizontal="left" wrapText="1" indent="1"/>
    </xf>
    <xf numFmtId="49" fontId="20" fillId="4" borderId="56" xfId="39" applyFont="1" applyFill="1" applyBorder="1" applyProtection="1">
      <alignment horizontal="center" vertical="center" wrapText="1"/>
    </xf>
    <xf numFmtId="0" fontId="20" fillId="4" borderId="57" xfId="40" applyNumberFormat="1" applyFont="1" applyFill="1" applyBorder="1" applyProtection="1">
      <alignment horizontal="center" vertical="center" wrapText="1"/>
    </xf>
    <xf numFmtId="0" fontId="21" fillId="4" borderId="49" xfId="0" applyFont="1" applyFill="1" applyBorder="1" applyAlignment="1" applyProtection="1">
      <alignment horizontal="center" vertical="center"/>
      <protection locked="0"/>
    </xf>
    <xf numFmtId="49" fontId="20" fillId="4" borderId="49" xfId="39" applyFont="1" applyFill="1" applyBorder="1" applyAlignment="1" applyProtection="1">
      <alignment horizontal="center" vertical="center" wrapText="1"/>
    </xf>
    <xf numFmtId="0" fontId="20" fillId="4" borderId="1" xfId="20" applyNumberFormat="1" applyFont="1" applyFill="1" applyAlignment="1" applyProtection="1">
      <alignment horizontal="center"/>
    </xf>
    <xf numFmtId="0" fontId="20" fillId="4" borderId="53" xfId="6" applyNumberFormat="1" applyFont="1" applyFill="1" applyBorder="1" applyAlignment="1" applyProtection="1">
      <alignment horizontal="center"/>
    </xf>
    <xf numFmtId="0" fontId="20" fillId="4" borderId="54" xfId="6" applyNumberFormat="1" applyFont="1" applyFill="1" applyBorder="1" applyAlignment="1" applyProtection="1">
      <alignment horizontal="center"/>
    </xf>
    <xf numFmtId="49" fontId="20" fillId="4" borderId="49" xfId="25" applyFont="1" applyFill="1" applyBorder="1" applyAlignment="1" applyProtection="1">
      <alignment horizontal="center"/>
    </xf>
    <xf numFmtId="4" fontId="20" fillId="4" borderId="55" xfId="45" applyFont="1" applyFill="1" applyBorder="1" applyProtection="1">
      <alignment horizontal="right"/>
    </xf>
    <xf numFmtId="4" fontId="20" fillId="4" borderId="12" xfId="45" applyFont="1" applyFill="1" applyBorder="1" applyProtection="1">
      <alignment horizontal="right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72"/>
    <cellStyle name="xl101" xfId="79"/>
    <cellStyle name="xl102" xfId="81"/>
    <cellStyle name="xl103" xfId="83"/>
    <cellStyle name="xl104" xfId="85"/>
    <cellStyle name="xl105" xfId="89"/>
    <cellStyle name="xl106" xfId="92"/>
    <cellStyle name="xl107" xfId="94"/>
    <cellStyle name="xl108" xfId="80"/>
    <cellStyle name="xl109" xfId="82"/>
    <cellStyle name="xl110" xfId="90"/>
    <cellStyle name="xl111" xfId="95"/>
    <cellStyle name="xl112" xfId="96"/>
    <cellStyle name="xl113" xfId="84"/>
    <cellStyle name="xl114" xfId="86"/>
    <cellStyle name="xl115" xfId="91"/>
    <cellStyle name="xl116" xfId="93"/>
    <cellStyle name="xl117" xfId="87"/>
    <cellStyle name="xl118" xfId="88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7"/>
    <cellStyle name="xl24" xfId="12"/>
    <cellStyle name="xl25" xfId="20"/>
    <cellStyle name="xl26" xfId="6"/>
    <cellStyle name="xl27" xfId="5"/>
    <cellStyle name="xl28" xfId="39"/>
    <cellStyle name="xl29" xfId="42"/>
    <cellStyle name="xl30" xfId="47"/>
    <cellStyle name="xl31" xfId="51"/>
    <cellStyle name="xl32" xfId="170"/>
    <cellStyle name="xl33" xfId="13"/>
    <cellStyle name="xl34" xfId="32"/>
    <cellStyle name="xl35" xfId="43"/>
    <cellStyle name="xl36" xfId="48"/>
    <cellStyle name="xl37" xfId="52"/>
    <cellStyle name="xl38" xfId="56"/>
    <cellStyle name="xl39" xfId="11"/>
    <cellStyle name="xl40" xfId="33"/>
    <cellStyle name="xl41" xfId="25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57"/>
    <cellStyle name="xl50" xfId="58"/>
    <cellStyle name="xl51" xfId="38"/>
    <cellStyle name="xl52" xfId="27"/>
    <cellStyle name="xl53" xfId="30"/>
    <cellStyle name="xl54" xfId="2"/>
    <cellStyle name="xl55" xfId="14"/>
    <cellStyle name="xl56" xfId="21"/>
    <cellStyle name="xl57" xfId="3"/>
    <cellStyle name="xl58" xfId="8"/>
    <cellStyle name="xl59" xfId="15"/>
    <cellStyle name="xl60" xfId="22"/>
    <cellStyle name="xl61" xfId="36"/>
    <cellStyle name="xl62" xfId="4"/>
    <cellStyle name="xl63" xfId="9"/>
    <cellStyle name="xl64" xfId="16"/>
    <cellStyle name="xl65" xfId="23"/>
    <cellStyle name="xl66" xfId="26"/>
    <cellStyle name="xl67" xfId="28"/>
    <cellStyle name="xl68" xfId="31"/>
    <cellStyle name="xl69" xfId="34"/>
    <cellStyle name="xl70" xfId="35"/>
    <cellStyle name="xl71" xfId="37"/>
    <cellStyle name="xl72" xfId="10"/>
    <cellStyle name="xl73" xfId="17"/>
    <cellStyle name="xl74" xfId="18"/>
    <cellStyle name="xl75" xfId="24"/>
    <cellStyle name="xl76" xfId="29"/>
    <cellStyle name="xl77" xfId="19"/>
    <cellStyle name="xl78" xfId="46"/>
    <cellStyle name="xl79" xfId="50"/>
    <cellStyle name="xl80" xfId="55"/>
    <cellStyle name="xl81" xfId="59"/>
    <cellStyle name="xl82" xfId="62"/>
    <cellStyle name="xl83" xfId="66"/>
    <cellStyle name="xl84" xfId="69"/>
    <cellStyle name="xl85" xfId="73"/>
    <cellStyle name="xl86" xfId="74"/>
    <cellStyle name="xl87" xfId="60"/>
    <cellStyle name="xl88" xfId="70"/>
    <cellStyle name="xl89" xfId="75"/>
    <cellStyle name="xl90" xfId="67"/>
    <cellStyle name="xl91" xfId="71"/>
    <cellStyle name="xl92" xfId="76"/>
    <cellStyle name="xl93" xfId="63"/>
    <cellStyle name="xl94" xfId="77"/>
    <cellStyle name="xl95" xfId="61"/>
    <cellStyle name="xl96" xfId="68"/>
    <cellStyle name="xl97" xfId="78"/>
    <cellStyle name="xl98" xfId="64"/>
    <cellStyle name="xl99" xfId="6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1"/>
  <sheetViews>
    <sheetView tabSelected="1" zoomScale="85" zoomScaleNormal="85" workbookViewId="0">
      <selection activeCell="A4" sqref="A4:A6"/>
    </sheetView>
  </sheetViews>
  <sheetFormatPr defaultRowHeight="18.75"/>
  <cols>
    <col min="1" max="1" width="74.85546875" style="1" customWidth="1"/>
    <col min="2" max="2" width="26" style="1" customWidth="1"/>
    <col min="3" max="3" width="27.28515625" style="1" customWidth="1"/>
    <col min="4" max="4" width="21.28515625" style="1" customWidth="1"/>
    <col min="5" max="5" width="29.28515625" style="1" customWidth="1"/>
    <col min="6" max="6" width="26.140625" style="1" customWidth="1"/>
    <col min="7" max="7" width="9.140625" style="1" hidden="1"/>
    <col min="8" max="8" width="24.5703125" style="1" customWidth="1"/>
    <col min="9" max="9" width="23.5703125" style="1" customWidth="1"/>
    <col min="10" max="10" width="21.7109375" style="1" customWidth="1"/>
    <col min="11" max="16384" width="9.140625" style="1"/>
  </cols>
  <sheetData>
    <row r="1" spans="1:10">
      <c r="A1" s="39" t="s">
        <v>101</v>
      </c>
      <c r="B1" s="39"/>
      <c r="C1" s="39"/>
      <c r="D1" s="39"/>
      <c r="E1" s="39"/>
      <c r="F1" s="39"/>
      <c r="G1" s="39"/>
      <c r="H1" s="39"/>
      <c r="I1" s="39"/>
      <c r="J1" s="39"/>
    </row>
    <row r="2" spans="1:10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>
      <c r="A3" s="39"/>
      <c r="B3" s="39"/>
      <c r="C3" s="39"/>
      <c r="D3" s="39"/>
      <c r="E3" s="39"/>
      <c r="F3" s="39"/>
      <c r="G3" s="39"/>
      <c r="H3" s="39"/>
      <c r="I3" s="39"/>
      <c r="J3" s="39"/>
    </row>
    <row r="4" spans="1:10" ht="18.75" customHeight="1">
      <c r="A4" s="38" t="s">
        <v>0</v>
      </c>
      <c r="B4" s="40" t="s">
        <v>96</v>
      </c>
      <c r="C4" s="41"/>
      <c r="D4" s="41"/>
      <c r="E4" s="42" t="s">
        <v>97</v>
      </c>
      <c r="F4" s="42"/>
      <c r="G4" s="42"/>
      <c r="H4" s="42"/>
      <c r="I4" s="37" t="s">
        <v>91</v>
      </c>
      <c r="J4" s="37" t="s">
        <v>92</v>
      </c>
    </row>
    <row r="5" spans="1:10" ht="56.25">
      <c r="A5" s="38"/>
      <c r="B5" s="2" t="s">
        <v>1</v>
      </c>
      <c r="C5" s="35" t="s">
        <v>2</v>
      </c>
      <c r="D5" s="38" t="s">
        <v>90</v>
      </c>
      <c r="E5" s="3" t="s">
        <v>1</v>
      </c>
      <c r="F5" s="3" t="s">
        <v>2</v>
      </c>
      <c r="G5" s="4"/>
      <c r="H5" s="38" t="s">
        <v>98</v>
      </c>
      <c r="I5" s="37"/>
      <c r="J5" s="37"/>
    </row>
    <row r="6" spans="1:10" ht="150">
      <c r="A6" s="38"/>
      <c r="B6" s="5" t="s">
        <v>3</v>
      </c>
      <c r="C6" s="36" t="s">
        <v>3</v>
      </c>
      <c r="D6" s="38"/>
      <c r="E6" s="6" t="s">
        <v>3</v>
      </c>
      <c r="F6" s="6" t="s">
        <v>3</v>
      </c>
      <c r="G6" s="4"/>
      <c r="H6" s="38"/>
      <c r="I6" s="37"/>
      <c r="J6" s="37"/>
    </row>
    <row r="7" spans="1:10" ht="19.5" thickBot="1">
      <c r="A7" s="3" t="s">
        <v>4</v>
      </c>
      <c r="B7" s="7">
        <v>3</v>
      </c>
      <c r="C7" s="8">
        <v>4</v>
      </c>
      <c r="D7" s="9" t="s">
        <v>88</v>
      </c>
      <c r="E7" s="10" t="s">
        <v>5</v>
      </c>
      <c r="F7" s="10" t="s">
        <v>6</v>
      </c>
      <c r="G7" s="4"/>
      <c r="H7" s="4" t="s">
        <v>89</v>
      </c>
      <c r="I7" s="11" t="s">
        <v>93</v>
      </c>
      <c r="J7" s="11" t="s">
        <v>94</v>
      </c>
    </row>
    <row r="8" spans="1:10">
      <c r="A8" s="12" t="s">
        <v>7</v>
      </c>
      <c r="B8" s="13">
        <f>15692276266.58/1000</f>
        <v>15692276.266580001</v>
      </c>
      <c r="C8" s="13">
        <f>15938845967.81/1000</f>
        <v>15938845.967809999</v>
      </c>
      <c r="D8" s="43">
        <f>C8/B8*100</f>
        <v>101.57128065451613</v>
      </c>
      <c r="E8" s="13">
        <f>16945152531.01/1000</f>
        <v>16945152.531010002</v>
      </c>
      <c r="F8" s="13">
        <f>16767418113.55/1000</f>
        <v>16767418.11355</v>
      </c>
      <c r="G8" s="14"/>
      <c r="H8" s="15">
        <f>F8/E8*100</f>
        <v>98.951119400461323</v>
      </c>
      <c r="I8" s="16">
        <f>F8-C8</f>
        <v>828572.14574000053</v>
      </c>
      <c r="J8" s="17">
        <f>F8/C8*100</f>
        <v>105.19844502803642</v>
      </c>
    </row>
    <row r="9" spans="1:10">
      <c r="A9" s="18" t="s">
        <v>8</v>
      </c>
      <c r="B9" s="19"/>
      <c r="C9" s="19"/>
      <c r="D9" s="43"/>
      <c r="E9" s="19"/>
      <c r="F9" s="19"/>
      <c r="G9" s="14"/>
      <c r="H9" s="15"/>
      <c r="I9" s="16"/>
      <c r="J9" s="17"/>
    </row>
    <row r="10" spans="1:10">
      <c r="A10" s="20" t="s">
        <v>9</v>
      </c>
      <c r="B10" s="21">
        <f>6400901437.43/1000</f>
        <v>6400901.4374299999</v>
      </c>
      <c r="C10" s="21">
        <f>6825914135.9/1000</f>
        <v>6825914.1358999992</v>
      </c>
      <c r="D10" s="43">
        <f t="shared" ref="D10:D73" si="0">C10/B10*100</f>
        <v>106.63988818800878</v>
      </c>
      <c r="E10" s="21">
        <f>7349526236.05/1000</f>
        <v>7349526.2360500004</v>
      </c>
      <c r="F10" s="21">
        <f>7464885693.02/1000</f>
        <v>7464885.6930200001</v>
      </c>
      <c r="G10" s="14"/>
      <c r="H10" s="15">
        <f t="shared" ref="H10:H74" si="1">F10/E10*100</f>
        <v>101.56961759526963</v>
      </c>
      <c r="I10" s="16">
        <f t="shared" ref="I10:I73" si="2">F10-C10</f>
        <v>638971.55712000094</v>
      </c>
      <c r="J10" s="17">
        <f t="shared" ref="J10:J74" si="3">F10/C10*100</f>
        <v>109.36096681555682</v>
      </c>
    </row>
    <row r="11" spans="1:10">
      <c r="A11" s="20" t="s">
        <v>87</v>
      </c>
      <c r="B11" s="21">
        <f>2705327698.91/1000</f>
        <v>2705327.6989099998</v>
      </c>
      <c r="C11" s="21">
        <f>2887373780.98/1000</f>
        <v>2887373.7809799998</v>
      </c>
      <c r="D11" s="43">
        <f t="shared" si="0"/>
        <v>106.72916934031127</v>
      </c>
      <c r="E11" s="21">
        <f>3020122196.71/1000</f>
        <v>3020122.1967099998</v>
      </c>
      <c r="F11" s="21">
        <f>2989246436.03/1000</f>
        <v>2989246.43603</v>
      </c>
      <c r="G11" s="14"/>
      <c r="H11" s="15">
        <f t="shared" si="1"/>
        <v>98.97766518475197</v>
      </c>
      <c r="I11" s="16">
        <f t="shared" si="2"/>
        <v>101872.65505000018</v>
      </c>
      <c r="J11" s="17">
        <f t="shared" si="3"/>
        <v>103.52821154368949</v>
      </c>
    </row>
    <row r="12" spans="1:10">
      <c r="A12" s="20" t="s">
        <v>86</v>
      </c>
      <c r="B12" s="21">
        <f>37511444.12/1000</f>
        <v>37511.44412</v>
      </c>
      <c r="C12" s="21">
        <f>37299541.74/1000</f>
        <v>37299.541740000001</v>
      </c>
      <c r="D12" s="43">
        <f t="shared" si="0"/>
        <v>99.435099381079226</v>
      </c>
      <c r="E12" s="21">
        <f>38884590.27/1000</f>
        <v>38884.590270000001</v>
      </c>
      <c r="F12" s="21">
        <f>43474944.67/1000</f>
        <v>43474.944670000004</v>
      </c>
      <c r="G12" s="14"/>
      <c r="H12" s="15">
        <f t="shared" si="1"/>
        <v>111.8050733417179</v>
      </c>
      <c r="I12" s="16">
        <f t="shared" si="2"/>
        <v>6175.4029300000038</v>
      </c>
      <c r="J12" s="17">
        <f t="shared" si="3"/>
        <v>116.55624343335431</v>
      </c>
    </row>
    <row r="13" spans="1:10">
      <c r="A13" s="20" t="s">
        <v>10</v>
      </c>
      <c r="B13" s="21">
        <f>1156512422/1000</f>
        <v>1156512.422</v>
      </c>
      <c r="C13" s="21">
        <f>1171716574.42/1000</f>
        <v>1171716.57442</v>
      </c>
      <c r="D13" s="43">
        <f t="shared" si="0"/>
        <v>101.31465534920126</v>
      </c>
      <c r="E13" s="21">
        <f>1564894892.35/1000</f>
        <v>1564894.8923499999</v>
      </c>
      <c r="F13" s="21">
        <f>1592362851.87/1000</f>
        <v>1592362.8518699999</v>
      </c>
      <c r="G13" s="14"/>
      <c r="H13" s="15">
        <f t="shared" si="1"/>
        <v>101.7552590691092</v>
      </c>
      <c r="I13" s="16">
        <f t="shared" si="2"/>
        <v>420646.27744999994</v>
      </c>
      <c r="J13" s="17">
        <f t="shared" si="3"/>
        <v>135.90000232421565</v>
      </c>
    </row>
    <row r="14" spans="1:10">
      <c r="A14" s="20" t="s">
        <v>11</v>
      </c>
      <c r="B14" s="21">
        <f>1411562617.74/1000</f>
        <v>1411562.6177399999</v>
      </c>
      <c r="C14" s="21">
        <f>1445083303.58/1000</f>
        <v>1445083.3035799998</v>
      </c>
      <c r="D14" s="43">
        <f t="shared" si="0"/>
        <v>102.37472184504777</v>
      </c>
      <c r="E14" s="21">
        <f>1529444978.98/1000</f>
        <v>1529444.9789800001</v>
      </c>
      <c r="F14" s="21">
        <f>1634891539.06/1000</f>
        <v>1634891.5390599999</v>
      </c>
      <c r="G14" s="14"/>
      <c r="H14" s="15">
        <f t="shared" si="1"/>
        <v>106.89443304788399</v>
      </c>
      <c r="I14" s="16">
        <f t="shared" si="2"/>
        <v>189808.23548000003</v>
      </c>
      <c r="J14" s="17">
        <f t="shared" si="3"/>
        <v>113.13476081342687</v>
      </c>
    </row>
    <row r="15" spans="1:10">
      <c r="A15" s="20" t="s">
        <v>12</v>
      </c>
      <c r="B15" s="21">
        <f>48057000/1000</f>
        <v>48057</v>
      </c>
      <c r="C15" s="21">
        <f>50143973.31/1000</f>
        <v>50143.973310000001</v>
      </c>
      <c r="D15" s="43">
        <f t="shared" si="0"/>
        <v>104.34270410137962</v>
      </c>
      <c r="E15" s="21">
        <f>58002000/1000</f>
        <v>58002</v>
      </c>
      <c r="F15" s="21">
        <f>59381984.72/1000</f>
        <v>59381.98472</v>
      </c>
      <c r="G15" s="14"/>
      <c r="H15" s="15">
        <f t="shared" si="1"/>
        <v>102.37920195855314</v>
      </c>
      <c r="I15" s="16">
        <f t="shared" si="2"/>
        <v>9238.0114099999992</v>
      </c>
      <c r="J15" s="17">
        <f t="shared" si="3"/>
        <v>118.42297448765933</v>
      </c>
    </row>
    <row r="16" spans="1:10" ht="56.25">
      <c r="A16" s="20" t="s">
        <v>13</v>
      </c>
      <c r="B16" s="21">
        <v>0</v>
      </c>
      <c r="C16" s="21">
        <f>2758.69/1000</f>
        <v>2.7586900000000001</v>
      </c>
      <c r="D16" s="43"/>
      <c r="E16" s="21">
        <v>0</v>
      </c>
      <c r="F16" s="21">
        <f>1366.04/1000</f>
        <v>1.3660399999999999</v>
      </c>
      <c r="G16" s="14"/>
      <c r="H16" s="15">
        <v>0</v>
      </c>
      <c r="I16" s="16">
        <f t="shared" si="2"/>
        <v>-1.3926500000000002</v>
      </c>
      <c r="J16" s="17">
        <f t="shared" si="3"/>
        <v>49.517705867640075</v>
      </c>
    </row>
    <row r="17" spans="1:10" ht="56.25">
      <c r="A17" s="20" t="s">
        <v>14</v>
      </c>
      <c r="B17" s="21">
        <f>503109415.8/1000</f>
        <v>503109.41580000002</v>
      </c>
      <c r="C17" s="21">
        <f>603199500.66/1000</f>
        <v>603199.50066000002</v>
      </c>
      <c r="D17" s="43">
        <f t="shared" si="0"/>
        <v>119.89429768489734</v>
      </c>
      <c r="E17" s="21">
        <f>608934035.33/1000</f>
        <v>608934.0353300001</v>
      </c>
      <c r="F17" s="21">
        <f>614831735.6/1000</f>
        <v>614831.73560000001</v>
      </c>
      <c r="G17" s="14"/>
      <c r="H17" s="15">
        <f t="shared" si="1"/>
        <v>100.9685285971581</v>
      </c>
      <c r="I17" s="16">
        <f t="shared" si="2"/>
        <v>11632.234939999995</v>
      </c>
      <c r="J17" s="17">
        <f t="shared" si="3"/>
        <v>101.92842250818717</v>
      </c>
    </row>
    <row r="18" spans="1:10" ht="37.5">
      <c r="A18" s="20" t="s">
        <v>15</v>
      </c>
      <c r="B18" s="21">
        <f>80200000/1000</f>
        <v>80200</v>
      </c>
      <c r="C18" s="21">
        <f>80381049.97/1000</f>
        <v>80381.049969999993</v>
      </c>
      <c r="D18" s="43">
        <f t="shared" si="0"/>
        <v>100.22574809226931</v>
      </c>
      <c r="E18" s="21">
        <f>84000000/1000</f>
        <v>84000</v>
      </c>
      <c r="F18" s="21">
        <f>81196699.75/1000</f>
        <v>81196.69975</v>
      </c>
      <c r="G18" s="14"/>
      <c r="H18" s="15">
        <f t="shared" si="1"/>
        <v>96.662737797619044</v>
      </c>
      <c r="I18" s="16">
        <f t="shared" si="2"/>
        <v>815.64978000000701</v>
      </c>
      <c r="J18" s="17">
        <f t="shared" si="3"/>
        <v>101.01472894457639</v>
      </c>
    </row>
    <row r="19" spans="1:10" ht="37.5">
      <c r="A19" s="20" t="s">
        <v>16</v>
      </c>
      <c r="B19" s="21">
        <f>61832280.02/1000</f>
        <v>61832.280020000006</v>
      </c>
      <c r="C19" s="21">
        <f>64202965.24/1000</f>
        <v>64202.965240000005</v>
      </c>
      <c r="D19" s="43">
        <f t="shared" si="0"/>
        <v>103.83405758162756</v>
      </c>
      <c r="E19" s="21">
        <f>47483787.82/1000</f>
        <v>47483.787819999998</v>
      </c>
      <c r="F19" s="21">
        <f>50238599.11/1000</f>
        <v>50238.599110000003</v>
      </c>
      <c r="G19" s="14"/>
      <c r="H19" s="15">
        <f t="shared" si="1"/>
        <v>105.80158284853529</v>
      </c>
      <c r="I19" s="16">
        <f t="shared" si="2"/>
        <v>-13964.366130000002</v>
      </c>
      <c r="J19" s="17">
        <f t="shared" si="3"/>
        <v>78.249655482734838</v>
      </c>
    </row>
    <row r="20" spans="1:10" ht="37.5">
      <c r="A20" s="20" t="s">
        <v>17</v>
      </c>
      <c r="B20" s="21">
        <f>265687072.41/1000</f>
        <v>265687.07241000002</v>
      </c>
      <c r="C20" s="21">
        <f>302716405.55/1000</f>
        <v>302716.40555000002</v>
      </c>
      <c r="D20" s="43">
        <f t="shared" si="0"/>
        <v>113.93719792390104</v>
      </c>
      <c r="E20" s="21">
        <f>324380636.33/1000</f>
        <v>324380.63633000001</v>
      </c>
      <c r="F20" s="21">
        <f>316032231.4/1000</f>
        <v>316032.23139999999</v>
      </c>
      <c r="G20" s="14"/>
      <c r="H20" s="15">
        <f t="shared" si="1"/>
        <v>97.426355338452751</v>
      </c>
      <c r="I20" s="16">
        <f t="shared" si="2"/>
        <v>13315.825849999965</v>
      </c>
      <c r="J20" s="17">
        <f t="shared" si="3"/>
        <v>104.3987790571861</v>
      </c>
    </row>
    <row r="21" spans="1:10">
      <c r="A21" s="20" t="s">
        <v>18</v>
      </c>
      <c r="B21" s="21">
        <f>38435267.76/1000</f>
        <v>38435.267759999995</v>
      </c>
      <c r="C21" s="21">
        <f>102607780.61/1000</f>
        <v>102607.78061</v>
      </c>
      <c r="D21" s="43">
        <f t="shared" si="0"/>
        <v>266.96257523353341</v>
      </c>
      <c r="E21" s="21">
        <f>44392742.14/1000</f>
        <v>44392.742140000002</v>
      </c>
      <c r="F21" s="21">
        <f>48135145.79/1000</f>
        <v>48135.145790000002</v>
      </c>
      <c r="G21" s="14"/>
      <c r="H21" s="15">
        <f t="shared" si="1"/>
        <v>108.43021509731861</v>
      </c>
      <c r="I21" s="16">
        <f t="shared" si="2"/>
        <v>-54472.634819999999</v>
      </c>
      <c r="J21" s="17">
        <f t="shared" si="3"/>
        <v>46.911789246232679</v>
      </c>
    </row>
    <row r="22" spans="1:10">
      <c r="A22" s="20" t="s">
        <v>19</v>
      </c>
      <c r="B22" s="21">
        <f>92666218.67/1000</f>
        <v>92666.218670000002</v>
      </c>
      <c r="C22" s="21">
        <f>81186501.15/1000</f>
        <v>81186.501150000011</v>
      </c>
      <c r="D22" s="43">
        <f t="shared" si="0"/>
        <v>87.611755734976953</v>
      </c>
      <c r="E22" s="21">
        <f>28986376.12/1000</f>
        <v>28986.376120000001</v>
      </c>
      <c r="F22" s="21">
        <f>35092158.98/1000</f>
        <v>35092.15898</v>
      </c>
      <c r="G22" s="14"/>
      <c r="H22" s="15">
        <f t="shared" si="1"/>
        <v>121.06431944001146</v>
      </c>
      <c r="I22" s="16">
        <f t="shared" si="2"/>
        <v>-46094.342170000011</v>
      </c>
      <c r="J22" s="17">
        <f t="shared" si="3"/>
        <v>43.224130222293731</v>
      </c>
    </row>
    <row r="23" spans="1:10">
      <c r="A23" s="20" t="s">
        <v>20</v>
      </c>
      <c r="B23" s="21">
        <f>9291374829.15/1000</f>
        <v>9291374.8291499987</v>
      </c>
      <c r="C23" s="21">
        <f>9112931831.91/1000</f>
        <v>9112931.8319099993</v>
      </c>
      <c r="D23" s="43">
        <f t="shared" si="0"/>
        <v>98.079476928643899</v>
      </c>
      <c r="E23" s="21">
        <f>9595626294.96/1000</f>
        <v>9595626.2949599996</v>
      </c>
      <c r="F23" s="21">
        <f>9302532420.53/1000</f>
        <v>9302532.4205300007</v>
      </c>
      <c r="G23" s="14"/>
      <c r="H23" s="15">
        <f t="shared" si="1"/>
        <v>96.945547216819577</v>
      </c>
      <c r="I23" s="16">
        <f t="shared" si="2"/>
        <v>189600.58862000145</v>
      </c>
      <c r="J23" s="17">
        <f t="shared" si="3"/>
        <v>102.08056629981685</v>
      </c>
    </row>
    <row r="24" spans="1:10" ht="56.25">
      <c r="A24" s="20" t="s">
        <v>21</v>
      </c>
      <c r="B24" s="21">
        <f>9288623168.26/1000</f>
        <v>9288623.1682600006</v>
      </c>
      <c r="C24" s="21">
        <f>9133606782.21/1000</f>
        <v>9133606.7822099999</v>
      </c>
      <c r="D24" s="43">
        <f t="shared" si="0"/>
        <v>98.331115567485767</v>
      </c>
      <c r="E24" s="21">
        <f>9577123782.85/1000</f>
        <v>9577123.782850001</v>
      </c>
      <c r="F24" s="21">
        <f>9336215279.19/1000</f>
        <v>9336215.2791900001</v>
      </c>
      <c r="G24" s="14"/>
      <c r="H24" s="15">
        <f t="shared" si="1"/>
        <v>97.484542237081641</v>
      </c>
      <c r="I24" s="16">
        <f t="shared" si="2"/>
        <v>202608.49698000029</v>
      </c>
      <c r="J24" s="17">
        <f t="shared" si="3"/>
        <v>102.2182747934215</v>
      </c>
    </row>
    <row r="25" spans="1:10">
      <c r="A25" s="20" t="s">
        <v>22</v>
      </c>
      <c r="B25" s="21">
        <f>2751660.89/1000</f>
        <v>2751.6608900000001</v>
      </c>
      <c r="C25" s="21">
        <f>4214557.72/1000</f>
        <v>4214.5577199999998</v>
      </c>
      <c r="D25" s="43">
        <f t="shared" si="0"/>
        <v>153.1641393500345</v>
      </c>
      <c r="E25" s="21">
        <f>18058000/1000</f>
        <v>18058</v>
      </c>
      <c r="F25" s="21">
        <f>18218100/1000</f>
        <v>18218.099999999999</v>
      </c>
      <c r="G25" s="14"/>
      <c r="H25" s="15">
        <f t="shared" si="1"/>
        <v>100.88658766197807</v>
      </c>
      <c r="I25" s="16">
        <f t="shared" si="2"/>
        <v>14003.542279999998</v>
      </c>
      <c r="J25" s="17">
        <f t="shared" si="3"/>
        <v>432.26599824571866</v>
      </c>
    </row>
    <row r="26" spans="1:10" ht="131.25">
      <c r="A26" s="20" t="s">
        <v>23</v>
      </c>
      <c r="B26" s="21">
        <v>0</v>
      </c>
      <c r="C26" s="21">
        <f>5571572/1000</f>
        <v>5571.5720000000001</v>
      </c>
      <c r="D26" s="43">
        <v>0</v>
      </c>
      <c r="E26" s="21">
        <v>0</v>
      </c>
      <c r="F26" s="21">
        <f>22919041.87/1000</f>
        <v>22919.041870000001</v>
      </c>
      <c r="G26" s="14"/>
      <c r="H26" s="15">
        <v>0</v>
      </c>
      <c r="I26" s="16">
        <f t="shared" si="2"/>
        <v>17347.469870000001</v>
      </c>
      <c r="J26" s="17">
        <f t="shared" si="3"/>
        <v>411.35682837805916</v>
      </c>
    </row>
    <row r="27" spans="1:10" ht="56.25">
      <c r="A27" s="20" t="s">
        <v>24</v>
      </c>
      <c r="B27" s="21">
        <v>0</v>
      </c>
      <c r="C27" s="21">
        <f>-30461080.02/1000</f>
        <v>-30461.080020000001</v>
      </c>
      <c r="D27" s="43">
        <v>0</v>
      </c>
      <c r="E27" s="21">
        <v>0</v>
      </c>
      <c r="F27" s="21">
        <f>-75264512.64/1000</f>
        <v>-75264.512640000001</v>
      </c>
      <c r="G27" s="14"/>
      <c r="H27" s="15">
        <v>0</v>
      </c>
      <c r="I27" s="16">
        <f t="shared" si="2"/>
        <v>-44803.43262</v>
      </c>
      <c r="J27" s="17">
        <f t="shared" si="3"/>
        <v>247.08418936749177</v>
      </c>
    </row>
    <row r="28" spans="1:10" s="25" customFormat="1">
      <c r="A28" s="22" t="s">
        <v>25</v>
      </c>
      <c r="B28" s="23">
        <f>16773868273.52/1000</f>
        <v>16773868.27352</v>
      </c>
      <c r="C28" s="23">
        <f>15896246109.44/1000</f>
        <v>15896246.109440001</v>
      </c>
      <c r="D28" s="43">
        <f t="shared" si="0"/>
        <v>94.767920256858972</v>
      </c>
      <c r="E28" s="23">
        <f>17733710382.04/1000</f>
        <v>17733710.382040001</v>
      </c>
      <c r="F28" s="23">
        <f>15896246109.44/1000</f>
        <v>15896246.109440001</v>
      </c>
      <c r="G28" s="24"/>
      <c r="H28" s="15">
        <f t="shared" si="1"/>
        <v>89.638579671060199</v>
      </c>
      <c r="I28" s="16">
        <f t="shared" si="2"/>
        <v>0</v>
      </c>
      <c r="J28" s="17">
        <f t="shared" si="3"/>
        <v>100</v>
      </c>
    </row>
    <row r="29" spans="1:10" s="25" customFormat="1">
      <c r="A29" s="26" t="s">
        <v>8</v>
      </c>
      <c r="B29" s="27"/>
      <c r="C29" s="27"/>
      <c r="D29" s="43"/>
      <c r="E29" s="27"/>
      <c r="F29" s="27"/>
      <c r="G29" s="24"/>
      <c r="H29" s="15"/>
      <c r="I29" s="16"/>
      <c r="J29" s="17"/>
    </row>
    <row r="30" spans="1:10" s="25" customFormat="1">
      <c r="A30" s="28" t="s">
        <v>26</v>
      </c>
      <c r="B30" s="23">
        <f>1540003113.81/1000</f>
        <v>1540003.11381</v>
      </c>
      <c r="C30" s="23">
        <f>1437223427.03/1000</f>
        <v>1437223.4270299999</v>
      </c>
      <c r="D30" s="43">
        <f t="shared" si="0"/>
        <v>93.326007859443806</v>
      </c>
      <c r="E30" s="23">
        <f>1769033431.33/1000</f>
        <v>1769033.4313299998</v>
      </c>
      <c r="F30" s="23">
        <f>1589542464.01/1000</f>
        <v>1589542.46401</v>
      </c>
      <c r="G30" s="24"/>
      <c r="H30" s="15">
        <f t="shared" si="1"/>
        <v>89.853726665580623</v>
      </c>
      <c r="I30" s="16">
        <f t="shared" si="2"/>
        <v>152319.03698000009</v>
      </c>
      <c r="J30" s="17">
        <f t="shared" si="3"/>
        <v>110.59814598866964</v>
      </c>
    </row>
    <row r="31" spans="1:10" s="25" customFormat="1" ht="54.75">
      <c r="A31" s="28" t="s">
        <v>27</v>
      </c>
      <c r="B31" s="23">
        <f>19184147.15/1000</f>
        <v>19184.147149999997</v>
      </c>
      <c r="C31" s="23">
        <f>18349328.35/1000</f>
        <v>18349.32835</v>
      </c>
      <c r="D31" s="43">
        <f t="shared" si="0"/>
        <v>95.648392428015768</v>
      </c>
      <c r="E31" s="23">
        <f>17196127.57/1000</f>
        <v>17196.127570000001</v>
      </c>
      <c r="F31" s="23">
        <f>16447496.56/1000</f>
        <v>16447.49656</v>
      </c>
      <c r="G31" s="24"/>
      <c r="H31" s="15">
        <f t="shared" si="1"/>
        <v>95.646513978495676</v>
      </c>
      <c r="I31" s="16">
        <f t="shared" si="2"/>
        <v>-1901.8317900000002</v>
      </c>
      <c r="J31" s="17">
        <f t="shared" si="3"/>
        <v>89.63541469353018</v>
      </c>
    </row>
    <row r="32" spans="1:10" s="25" customFormat="1" ht="72.75">
      <c r="A32" s="28" t="s">
        <v>28</v>
      </c>
      <c r="B32" s="23">
        <f>94873893.89/1000</f>
        <v>94873.893890000007</v>
      </c>
      <c r="C32" s="23">
        <f>91916495.11/1000</f>
        <v>91916.495110000003</v>
      </c>
      <c r="D32" s="43">
        <f t="shared" si="0"/>
        <v>96.882810793632117</v>
      </c>
      <c r="E32" s="23">
        <f>100842835.13/1000</f>
        <v>100842.83512999999</v>
      </c>
      <c r="F32" s="23">
        <f>95422725.07/1000</f>
        <v>95422.725069999986</v>
      </c>
      <c r="G32" s="24"/>
      <c r="H32" s="15">
        <f t="shared" si="1"/>
        <v>94.625190720775805</v>
      </c>
      <c r="I32" s="16">
        <f t="shared" si="2"/>
        <v>3506.2299599999824</v>
      </c>
      <c r="J32" s="17">
        <f t="shared" si="3"/>
        <v>103.8145818721699</v>
      </c>
    </row>
    <row r="33" spans="1:10" s="25" customFormat="1" ht="72.75">
      <c r="A33" s="28" t="s">
        <v>29</v>
      </c>
      <c r="B33" s="23">
        <f>596766757.35/1000</f>
        <v>596766.75734999997</v>
      </c>
      <c r="C33" s="23">
        <f>580263991.16/1000</f>
        <v>580263.99115999998</v>
      </c>
      <c r="D33" s="43">
        <f t="shared" si="0"/>
        <v>97.234637153168165</v>
      </c>
      <c r="E33" s="23">
        <f>682436808.43/1000</f>
        <v>682436.80842999998</v>
      </c>
      <c r="F33" s="23">
        <f>650912905.13/1000</f>
        <v>650912.90512999997</v>
      </c>
      <c r="G33" s="24"/>
      <c r="H33" s="15">
        <f t="shared" si="1"/>
        <v>95.38068537473481</v>
      </c>
      <c r="I33" s="16">
        <f t="shared" si="2"/>
        <v>70648.913969999994</v>
      </c>
      <c r="J33" s="17">
        <f t="shared" si="3"/>
        <v>112.17530555855559</v>
      </c>
    </row>
    <row r="34" spans="1:10" s="25" customFormat="1">
      <c r="A34" s="28" t="s">
        <v>30</v>
      </c>
      <c r="B34" s="23">
        <f>411712/1000</f>
        <v>411.71199999999999</v>
      </c>
      <c r="C34" s="23">
        <f>158880/1000</f>
        <v>158.88</v>
      </c>
      <c r="D34" s="43">
        <f t="shared" si="0"/>
        <v>38.590082387688476</v>
      </c>
      <c r="E34" s="23">
        <f>53015/1000</f>
        <v>53.015000000000001</v>
      </c>
      <c r="F34" s="23">
        <f>53015/1000</f>
        <v>53.015000000000001</v>
      </c>
      <c r="G34" s="24"/>
      <c r="H34" s="15">
        <f t="shared" si="1"/>
        <v>100</v>
      </c>
      <c r="I34" s="16">
        <f t="shared" si="2"/>
        <v>-105.86499999999999</v>
      </c>
      <c r="J34" s="17">
        <f t="shared" si="3"/>
        <v>33.367950654582074</v>
      </c>
    </row>
    <row r="35" spans="1:10" s="25" customFormat="1" ht="54.75">
      <c r="A35" s="28" t="s">
        <v>31</v>
      </c>
      <c r="B35" s="23">
        <f>60666979.51/1000</f>
        <v>60666.979509999997</v>
      </c>
      <c r="C35" s="23">
        <f>59949379.16/1000</f>
        <v>59949.379159999997</v>
      </c>
      <c r="D35" s="43">
        <f t="shared" si="0"/>
        <v>98.817148379899621</v>
      </c>
      <c r="E35" s="23">
        <f>63148944.26/1000</f>
        <v>63148.944259999997</v>
      </c>
      <c r="F35" s="23">
        <f>62632186.19/1000</f>
        <v>62632.18619</v>
      </c>
      <c r="G35" s="24"/>
      <c r="H35" s="15">
        <f t="shared" si="1"/>
        <v>99.181683754090372</v>
      </c>
      <c r="I35" s="16">
        <f t="shared" si="2"/>
        <v>2682.8070300000036</v>
      </c>
      <c r="J35" s="17">
        <f t="shared" si="3"/>
        <v>104.47512062275041</v>
      </c>
    </row>
    <row r="36" spans="1:10" s="25" customFormat="1">
      <c r="A36" s="28" t="s">
        <v>32</v>
      </c>
      <c r="B36" s="23">
        <f>1720960/1000</f>
        <v>1720.96</v>
      </c>
      <c r="C36" s="23">
        <f>1621000/1000</f>
        <v>1621</v>
      </c>
      <c r="D36" s="43">
        <f t="shared" si="0"/>
        <v>94.191613982893259</v>
      </c>
      <c r="E36" s="23">
        <f>25842140/1000</f>
        <v>25842.14</v>
      </c>
      <c r="F36" s="23">
        <f>25655998.55/1000</f>
        <v>25655.99855</v>
      </c>
      <c r="G36" s="24"/>
      <c r="H36" s="15">
        <f t="shared" si="1"/>
        <v>99.279698004886598</v>
      </c>
      <c r="I36" s="16">
        <f t="shared" si="2"/>
        <v>24034.99855</v>
      </c>
      <c r="J36" s="17">
        <f t="shared" si="3"/>
        <v>1582.7266224552745</v>
      </c>
    </row>
    <row r="37" spans="1:10" s="25" customFormat="1">
      <c r="A37" s="28" t="s">
        <v>33</v>
      </c>
      <c r="B37" s="23">
        <f>16707515.22/1000</f>
        <v>16707.515220000001</v>
      </c>
      <c r="C37" s="23">
        <v>0</v>
      </c>
      <c r="D37" s="43">
        <f t="shared" si="0"/>
        <v>0</v>
      </c>
      <c r="E37" s="23">
        <f>32935658.22/1000</f>
        <v>32935.658219999998</v>
      </c>
      <c r="F37" s="23">
        <v>0</v>
      </c>
      <c r="G37" s="24"/>
      <c r="H37" s="15">
        <f t="shared" si="1"/>
        <v>0</v>
      </c>
      <c r="I37" s="16">
        <f t="shared" si="2"/>
        <v>0</v>
      </c>
      <c r="J37" s="17">
        <v>0</v>
      </c>
    </row>
    <row r="38" spans="1:10" s="25" customFormat="1">
      <c r="A38" s="28" t="s">
        <v>34</v>
      </c>
      <c r="B38" s="23">
        <f>749671148.69/1000</f>
        <v>749671.14869000006</v>
      </c>
      <c r="C38" s="23">
        <f>684964353.25/1000</f>
        <v>684964.35325000004</v>
      </c>
      <c r="D38" s="43">
        <f t="shared" si="0"/>
        <v>91.368642697125154</v>
      </c>
      <c r="E38" s="23">
        <f>846577902.72/1000</f>
        <v>846577.90272000001</v>
      </c>
      <c r="F38" s="23">
        <f>738418137.51/1000</f>
        <v>738418.13751000003</v>
      </c>
      <c r="G38" s="24"/>
      <c r="H38" s="15">
        <f t="shared" si="1"/>
        <v>87.22388514246714</v>
      </c>
      <c r="I38" s="16">
        <f t="shared" si="2"/>
        <v>53453.784259999986</v>
      </c>
      <c r="J38" s="17">
        <f t="shared" si="3"/>
        <v>107.80387826116409</v>
      </c>
    </row>
    <row r="39" spans="1:10" s="25" customFormat="1">
      <c r="A39" s="20" t="s">
        <v>35</v>
      </c>
      <c r="B39" s="21">
        <f>10627600/1000</f>
        <v>10627.6</v>
      </c>
      <c r="C39" s="21">
        <f>10430718.31/1000</f>
        <v>10430.71831</v>
      </c>
      <c r="D39" s="43">
        <f t="shared" si="0"/>
        <v>98.147449188904361</v>
      </c>
      <c r="E39" s="21">
        <f>12798800/1000</f>
        <v>12798.8</v>
      </c>
      <c r="F39" s="21">
        <f>12782184.44/1000</f>
        <v>12782.184439999999</v>
      </c>
      <c r="G39" s="24"/>
      <c r="H39" s="15">
        <f t="shared" si="1"/>
        <v>99.870178766759381</v>
      </c>
      <c r="I39" s="16">
        <f t="shared" si="2"/>
        <v>2351.4661299999989</v>
      </c>
      <c r="J39" s="17">
        <f t="shared" si="3"/>
        <v>122.54366439697286</v>
      </c>
    </row>
    <row r="40" spans="1:10" s="25" customFormat="1">
      <c r="A40" s="20" t="s">
        <v>36</v>
      </c>
      <c r="B40" s="21">
        <f>10627600/1000</f>
        <v>10627.6</v>
      </c>
      <c r="C40" s="21">
        <f>10430718.31/1000</f>
        <v>10430.71831</v>
      </c>
      <c r="D40" s="43">
        <f t="shared" si="0"/>
        <v>98.147449188904361</v>
      </c>
      <c r="E40" s="21">
        <f>12798800/1000</f>
        <v>12798.8</v>
      </c>
      <c r="F40" s="21">
        <f>12782184.44/1000</f>
        <v>12782.184439999999</v>
      </c>
      <c r="G40" s="24"/>
      <c r="H40" s="15">
        <f t="shared" si="1"/>
        <v>99.870178766759381</v>
      </c>
      <c r="I40" s="16">
        <f t="shared" si="2"/>
        <v>2351.4661299999989</v>
      </c>
      <c r="J40" s="17">
        <f t="shared" si="3"/>
        <v>122.54366439697286</v>
      </c>
    </row>
    <row r="41" spans="1:10" s="25" customFormat="1" ht="37.5">
      <c r="A41" s="20" t="s">
        <v>37</v>
      </c>
      <c r="B41" s="21">
        <f>109195676.98/1000</f>
        <v>109195.67698</v>
      </c>
      <c r="C41" s="21">
        <f>96639697.34/1000</f>
        <v>96639.697339999999</v>
      </c>
      <c r="D41" s="43">
        <f t="shared" si="0"/>
        <v>88.501394938647877</v>
      </c>
      <c r="E41" s="21">
        <f>101186401.21/1000</f>
        <v>101186.40121</v>
      </c>
      <c r="F41" s="21">
        <f>86168860.65/1000</f>
        <v>86168.860650000002</v>
      </c>
      <c r="G41" s="24"/>
      <c r="H41" s="15">
        <f t="shared" si="1"/>
        <v>85.158538716252082</v>
      </c>
      <c r="I41" s="16">
        <f t="shared" si="2"/>
        <v>-10470.836689999996</v>
      </c>
      <c r="J41" s="17">
        <f t="shared" si="3"/>
        <v>89.165077107846002</v>
      </c>
    </row>
    <row r="42" spans="1:10" s="25" customFormat="1" ht="56.25">
      <c r="A42" s="20" t="s">
        <v>38</v>
      </c>
      <c r="B42" s="21">
        <f>59294010.45/1000</f>
        <v>59294.010450000002</v>
      </c>
      <c r="C42" s="21">
        <f>48269617.61/1000</f>
        <v>48269.617610000001</v>
      </c>
      <c r="D42" s="43">
        <f t="shared" si="0"/>
        <v>81.407240366552074</v>
      </c>
      <c r="E42" s="21">
        <f>51755943.64/1000</f>
        <v>51755.943639999998</v>
      </c>
      <c r="F42" s="21">
        <f>39898360.22/1000</f>
        <v>39898.360220000002</v>
      </c>
      <c r="G42" s="24"/>
      <c r="H42" s="15">
        <f t="shared" si="1"/>
        <v>77.089426670532646</v>
      </c>
      <c r="I42" s="16">
        <f t="shared" si="2"/>
        <v>-8371.2573899999988</v>
      </c>
      <c r="J42" s="17">
        <f t="shared" si="3"/>
        <v>82.657294993226287</v>
      </c>
    </row>
    <row r="43" spans="1:10" s="25" customFormat="1">
      <c r="A43" s="20" t="s">
        <v>39</v>
      </c>
      <c r="B43" s="21">
        <f>19254646.7/1000</f>
        <v>19254.646699999998</v>
      </c>
      <c r="C43" s="21">
        <f>18168807.37/1000</f>
        <v>18168.807370000002</v>
      </c>
      <c r="D43" s="43">
        <f t="shared" si="0"/>
        <v>94.360637476666881</v>
      </c>
      <c r="E43" s="21">
        <f>22988878.43/1000</f>
        <v>22988.878430000001</v>
      </c>
      <c r="F43" s="21">
        <f>20282575.48/1000</f>
        <v>20282.57548</v>
      </c>
      <c r="G43" s="24"/>
      <c r="H43" s="15">
        <f t="shared" si="1"/>
        <v>88.227773015371056</v>
      </c>
      <c r="I43" s="16">
        <f t="shared" si="2"/>
        <v>2113.7681099999973</v>
      </c>
      <c r="J43" s="17">
        <f t="shared" si="3"/>
        <v>111.63404986884396</v>
      </c>
    </row>
    <row r="44" spans="1:10" s="25" customFormat="1" ht="37.5">
      <c r="A44" s="20" t="s">
        <v>40</v>
      </c>
      <c r="B44" s="21">
        <f>30647019.83/1000</f>
        <v>30647.019829999997</v>
      </c>
      <c r="C44" s="21">
        <f>30201272.36/1000</f>
        <v>30201.272359999999</v>
      </c>
      <c r="D44" s="43">
        <f t="shared" si="0"/>
        <v>98.5455438327362</v>
      </c>
      <c r="E44" s="21">
        <f>26441579.14/1000</f>
        <v>26441.579140000002</v>
      </c>
      <c r="F44" s="21">
        <f>25987924.95/1000</f>
        <v>25987.924950000001</v>
      </c>
      <c r="G44" s="24"/>
      <c r="H44" s="15">
        <f t="shared" si="1"/>
        <v>98.284315064550256</v>
      </c>
      <c r="I44" s="16">
        <f t="shared" si="2"/>
        <v>-4213.3474099999985</v>
      </c>
      <c r="J44" s="17">
        <f t="shared" si="3"/>
        <v>86.049106276792642</v>
      </c>
    </row>
    <row r="45" spans="1:10" s="25" customFormat="1">
      <c r="A45" s="28" t="s">
        <v>41</v>
      </c>
      <c r="B45" s="23">
        <f>731351590.42/1000</f>
        <v>731351.59041999991</v>
      </c>
      <c r="C45" s="23">
        <f>631784192.16/1000</f>
        <v>631784.19215999998</v>
      </c>
      <c r="D45" s="43">
        <f t="shared" si="0"/>
        <v>86.385836912883391</v>
      </c>
      <c r="E45" s="23">
        <f>917347848.43/1000</f>
        <v>917347.8484299999</v>
      </c>
      <c r="F45" s="23">
        <f>780266248.67/1000</f>
        <v>780266.24867</v>
      </c>
      <c r="G45" s="24"/>
      <c r="H45" s="15">
        <f t="shared" si="1"/>
        <v>85.056748103283937</v>
      </c>
      <c r="I45" s="16">
        <f t="shared" si="2"/>
        <v>148482.05651000002</v>
      </c>
      <c r="J45" s="17">
        <f t="shared" si="3"/>
        <v>123.50202147387645</v>
      </c>
    </row>
    <row r="46" spans="1:10" s="25" customFormat="1">
      <c r="A46" s="28" t="s">
        <v>42</v>
      </c>
      <c r="B46" s="23">
        <f>314214.75/1000</f>
        <v>314.21474999999998</v>
      </c>
      <c r="C46" s="23">
        <f>241299.75/1000</f>
        <v>241.29974999999999</v>
      </c>
      <c r="D46" s="43">
        <f t="shared" si="0"/>
        <v>76.794533038312167</v>
      </c>
      <c r="E46" s="23">
        <f>268432.25/1000</f>
        <v>268.43225000000001</v>
      </c>
      <c r="F46" s="23">
        <f>202592.25/1000</f>
        <v>202.59225000000001</v>
      </c>
      <c r="G46" s="24"/>
      <c r="H46" s="15">
        <f t="shared" si="1"/>
        <v>75.472395734864193</v>
      </c>
      <c r="I46" s="16">
        <f t="shared" si="2"/>
        <v>-38.707499999999982</v>
      </c>
      <c r="J46" s="17">
        <f t="shared" si="3"/>
        <v>83.958748403179044</v>
      </c>
    </row>
    <row r="47" spans="1:10" s="25" customFormat="1">
      <c r="A47" s="28" t="s">
        <v>43</v>
      </c>
      <c r="B47" s="23">
        <f>32660000/1000</f>
        <v>32660</v>
      </c>
      <c r="C47" s="23">
        <f>32660000/1000</f>
        <v>32660</v>
      </c>
      <c r="D47" s="43">
        <f t="shared" si="0"/>
        <v>100</v>
      </c>
      <c r="E47" s="23">
        <f>10870000/1000</f>
        <v>10870</v>
      </c>
      <c r="F47" s="23">
        <f>10770000/1000</f>
        <v>10770</v>
      </c>
      <c r="G47" s="24"/>
      <c r="H47" s="15">
        <f t="shared" si="1"/>
        <v>99.080036798528056</v>
      </c>
      <c r="I47" s="16">
        <f t="shared" si="2"/>
        <v>-21890</v>
      </c>
      <c r="J47" s="17">
        <f t="shared" si="3"/>
        <v>32.976117575015309</v>
      </c>
    </row>
    <row r="48" spans="1:10" s="25" customFormat="1">
      <c r="A48" s="28" t="s">
        <v>44</v>
      </c>
      <c r="B48" s="23">
        <f>250000/1000</f>
        <v>250</v>
      </c>
      <c r="C48" s="23">
        <f>250000/1000</f>
        <v>250</v>
      </c>
      <c r="D48" s="43">
        <v>0</v>
      </c>
      <c r="E48" s="23">
        <v>0</v>
      </c>
      <c r="F48" s="23">
        <v>0</v>
      </c>
      <c r="G48" s="24"/>
      <c r="H48" s="15">
        <v>0</v>
      </c>
      <c r="I48" s="16">
        <f t="shared" si="2"/>
        <v>-250</v>
      </c>
      <c r="J48" s="17">
        <v>0</v>
      </c>
    </row>
    <row r="49" spans="1:10" s="25" customFormat="1">
      <c r="A49" s="28" t="s">
        <v>99</v>
      </c>
      <c r="B49" s="23">
        <v>0</v>
      </c>
      <c r="C49" s="23">
        <v>0</v>
      </c>
      <c r="D49" s="43">
        <v>0</v>
      </c>
      <c r="E49" s="23">
        <f>1000/1000</f>
        <v>1</v>
      </c>
      <c r="F49" s="23">
        <v>0</v>
      </c>
      <c r="G49" s="24"/>
      <c r="H49" s="15">
        <v>0</v>
      </c>
      <c r="I49" s="16">
        <v>0</v>
      </c>
      <c r="J49" s="17">
        <v>0</v>
      </c>
    </row>
    <row r="50" spans="1:10" s="25" customFormat="1">
      <c r="A50" s="28" t="s">
        <v>45</v>
      </c>
      <c r="B50" s="23">
        <f>544142767.26/1000</f>
        <v>544142.76725999999</v>
      </c>
      <c r="C50" s="23">
        <f>479392961.54/1000</f>
        <v>479392.96154000005</v>
      </c>
      <c r="D50" s="43">
        <f t="shared" si="0"/>
        <v>88.100585064091931</v>
      </c>
      <c r="E50" s="23">
        <f>751036686.96/1000</f>
        <v>751036.68696000008</v>
      </c>
      <c r="F50" s="23">
        <f>635973064.59/1000</f>
        <v>635973.06459000008</v>
      </c>
      <c r="G50" s="24"/>
      <c r="H50" s="15">
        <f t="shared" si="1"/>
        <v>84.679360626742834</v>
      </c>
      <c r="I50" s="16">
        <f t="shared" si="2"/>
        <v>156580.10305000003</v>
      </c>
      <c r="J50" s="17">
        <f t="shared" si="3"/>
        <v>132.66216144413193</v>
      </c>
    </row>
    <row r="51" spans="1:10" s="25" customFormat="1">
      <c r="A51" s="28" t="s">
        <v>46</v>
      </c>
      <c r="B51" s="23">
        <f>4500000/1000</f>
        <v>4500</v>
      </c>
      <c r="C51" s="23">
        <f>4500000/1000</f>
        <v>4500</v>
      </c>
      <c r="D51" s="43">
        <f t="shared" si="0"/>
        <v>100</v>
      </c>
      <c r="E51" s="23">
        <f>4700000/1000</f>
        <v>4700</v>
      </c>
      <c r="F51" s="23">
        <f>4700000/1000</f>
        <v>4700</v>
      </c>
      <c r="G51" s="24"/>
      <c r="H51" s="15">
        <f t="shared" si="1"/>
        <v>100</v>
      </c>
      <c r="I51" s="16">
        <f t="shared" si="2"/>
        <v>200</v>
      </c>
      <c r="J51" s="17">
        <f t="shared" si="3"/>
        <v>104.44444444444446</v>
      </c>
    </row>
    <row r="52" spans="1:10" s="25" customFormat="1">
      <c r="A52" s="28" t="s">
        <v>47</v>
      </c>
      <c r="B52" s="23">
        <f>149484608.41/1000</f>
        <v>149484.60840999999</v>
      </c>
      <c r="C52" s="23">
        <f>114739930.87/1000</f>
        <v>114739.93087000001</v>
      </c>
      <c r="D52" s="43">
        <f t="shared" si="0"/>
        <v>76.757020064096665</v>
      </c>
      <c r="E52" s="23">
        <f>150471729.22/1000</f>
        <v>150471.72922000001</v>
      </c>
      <c r="F52" s="23">
        <f>128620591.83/1000</f>
        <v>128620.59183</v>
      </c>
      <c r="G52" s="24"/>
      <c r="H52" s="15">
        <f t="shared" si="1"/>
        <v>85.478243984255585</v>
      </c>
      <c r="I52" s="16">
        <f t="shared" si="2"/>
        <v>13880.660959999994</v>
      </c>
      <c r="J52" s="17">
        <f t="shared" si="3"/>
        <v>112.09749810266727</v>
      </c>
    </row>
    <row r="53" spans="1:10" s="25" customFormat="1">
      <c r="A53" s="28" t="s">
        <v>48</v>
      </c>
      <c r="B53" s="23">
        <f>2286967307.29/1000</f>
        <v>2286967.3072899999</v>
      </c>
      <c r="C53" s="23">
        <f>1989925325.91/1000</f>
        <v>1989925.3259100001</v>
      </c>
      <c r="D53" s="43">
        <f t="shared" si="0"/>
        <v>87.011533552178875</v>
      </c>
      <c r="E53" s="23">
        <f>2711040127.83/1000</f>
        <v>2711040.1278300001</v>
      </c>
      <c r="F53" s="23">
        <f>2178336976.94/1000</f>
        <v>2178336.97694</v>
      </c>
      <c r="G53" s="24"/>
      <c r="H53" s="15">
        <f t="shared" si="1"/>
        <v>80.350598819192243</v>
      </c>
      <c r="I53" s="16">
        <f t="shared" si="2"/>
        <v>188411.65102999983</v>
      </c>
      <c r="J53" s="17">
        <f t="shared" si="3"/>
        <v>109.46827745628286</v>
      </c>
    </row>
    <row r="54" spans="1:10" s="25" customFormat="1">
      <c r="A54" s="28" t="s">
        <v>49</v>
      </c>
      <c r="B54" s="23">
        <f>172990670.25/1000</f>
        <v>172990.67025</v>
      </c>
      <c r="C54" s="23">
        <f>156765892.22/1000</f>
        <v>156765.89222000001</v>
      </c>
      <c r="D54" s="43">
        <f t="shared" si="0"/>
        <v>90.6210097882432</v>
      </c>
      <c r="E54" s="23">
        <f>358792405.98/1000</f>
        <v>358792.40598000004</v>
      </c>
      <c r="F54" s="23">
        <f>224764538.32/1000</f>
        <v>224764.53831999999</v>
      </c>
      <c r="G54" s="24"/>
      <c r="H54" s="15">
        <f t="shared" si="1"/>
        <v>62.644731207752734</v>
      </c>
      <c r="I54" s="16">
        <f t="shared" si="2"/>
        <v>67998.646099999984</v>
      </c>
      <c r="J54" s="17">
        <f t="shared" si="3"/>
        <v>143.37591879014917</v>
      </c>
    </row>
    <row r="55" spans="1:10" s="25" customFormat="1">
      <c r="A55" s="28" t="s">
        <v>50</v>
      </c>
      <c r="B55" s="23">
        <f>899287552.76/1000</f>
        <v>899287.55275999999</v>
      </c>
      <c r="C55" s="23">
        <f>739344531.48/1000</f>
        <v>739344.53148000001</v>
      </c>
      <c r="D55" s="43">
        <f t="shared" si="0"/>
        <v>82.214474025675173</v>
      </c>
      <c r="E55" s="23">
        <f>918115546.66/1000</f>
        <v>918115.54665999999</v>
      </c>
      <c r="F55" s="23">
        <f>692585307.06/1000</f>
        <v>692585.3070599999</v>
      </c>
      <c r="G55" s="24"/>
      <c r="H55" s="15">
        <f t="shared" si="1"/>
        <v>75.435527650037798</v>
      </c>
      <c r="I55" s="16">
        <f t="shared" si="2"/>
        <v>-46759.224420000101</v>
      </c>
      <c r="J55" s="17">
        <f t="shared" si="3"/>
        <v>93.675583922099378</v>
      </c>
    </row>
    <row r="56" spans="1:10" s="25" customFormat="1">
      <c r="A56" s="28" t="s">
        <v>51</v>
      </c>
      <c r="B56" s="23">
        <f>1066017798.71/1000</f>
        <v>1066017.79871</v>
      </c>
      <c r="C56" s="23">
        <f>945520774.78/1000</f>
        <v>945520.77477999998</v>
      </c>
      <c r="D56" s="43">
        <f t="shared" si="0"/>
        <v>88.696527949550671</v>
      </c>
      <c r="E56" s="23">
        <f>1249432075.31/1000</f>
        <v>1249432.07531</v>
      </c>
      <c r="F56" s="23">
        <f>1077406168.8/1000</f>
        <v>1077406.1687999999</v>
      </c>
      <c r="G56" s="24"/>
      <c r="H56" s="15">
        <f t="shared" si="1"/>
        <v>86.231671980462139</v>
      </c>
      <c r="I56" s="16">
        <f t="shared" si="2"/>
        <v>131885.39401999989</v>
      </c>
      <c r="J56" s="17">
        <f t="shared" si="3"/>
        <v>113.94843958353917</v>
      </c>
    </row>
    <row r="57" spans="1:10" s="25" customFormat="1" ht="36.75">
      <c r="A57" s="28" t="s">
        <v>52</v>
      </c>
      <c r="B57" s="23">
        <f>148671285.57/1000</f>
        <v>148671.28557000001</v>
      </c>
      <c r="C57" s="23">
        <f>148294127.43/1000</f>
        <v>148294.12742999999</v>
      </c>
      <c r="D57" s="43">
        <f t="shared" si="0"/>
        <v>99.746314065588379</v>
      </c>
      <c r="E57" s="23">
        <f>184700099.88/1000</f>
        <v>184700.09987999999</v>
      </c>
      <c r="F57" s="23">
        <f>183580962.76/1000</f>
        <v>183580.96275999999</v>
      </c>
      <c r="G57" s="24"/>
      <c r="H57" s="15">
        <f t="shared" si="1"/>
        <v>99.39407876837798</v>
      </c>
      <c r="I57" s="16">
        <f t="shared" si="2"/>
        <v>35286.835330000002</v>
      </c>
      <c r="J57" s="17">
        <f t="shared" si="3"/>
        <v>123.79516703832836</v>
      </c>
    </row>
    <row r="58" spans="1:10" s="25" customFormat="1">
      <c r="A58" s="28" t="s">
        <v>53</v>
      </c>
      <c r="B58" s="23">
        <f>22667.8/1000</f>
        <v>22.6678</v>
      </c>
      <c r="C58" s="23">
        <f>22667.8/1000</f>
        <v>22.6678</v>
      </c>
      <c r="D58" s="43">
        <f t="shared" si="0"/>
        <v>100</v>
      </c>
      <c r="E58" s="23">
        <f>3085357.2/1000</f>
        <v>3085.3572000000004</v>
      </c>
      <c r="F58" s="23">
        <f>1577843.46/1000</f>
        <v>1577.8434600000001</v>
      </c>
      <c r="G58" s="24"/>
      <c r="H58" s="15">
        <f t="shared" si="1"/>
        <v>51.139733836976795</v>
      </c>
      <c r="I58" s="16">
        <f t="shared" si="2"/>
        <v>1555.1756600000001</v>
      </c>
      <c r="J58" s="17">
        <f t="shared" si="3"/>
        <v>6960.7260519326974</v>
      </c>
    </row>
    <row r="59" spans="1:10" s="25" customFormat="1" ht="36.75">
      <c r="A59" s="28" t="s">
        <v>54</v>
      </c>
      <c r="B59" s="23">
        <f>22667.8/1000</f>
        <v>22.6678</v>
      </c>
      <c r="C59" s="23">
        <f>22667.8/1000</f>
        <v>22.6678</v>
      </c>
      <c r="D59" s="43">
        <f t="shared" si="0"/>
        <v>100</v>
      </c>
      <c r="E59" s="23">
        <f>3085357.2/1000</f>
        <v>3085.3572000000004</v>
      </c>
      <c r="F59" s="23">
        <f>1577843.46/1000</f>
        <v>1577.8434600000001</v>
      </c>
      <c r="G59" s="24"/>
      <c r="H59" s="15">
        <f t="shared" si="1"/>
        <v>51.139733836976795</v>
      </c>
      <c r="I59" s="16">
        <f t="shared" si="2"/>
        <v>1555.1756600000001</v>
      </c>
      <c r="J59" s="17">
        <f t="shared" si="3"/>
        <v>6960.7260519326974</v>
      </c>
    </row>
    <row r="60" spans="1:10" s="25" customFormat="1">
      <c r="A60" s="28" t="s">
        <v>55</v>
      </c>
      <c r="B60" s="23">
        <f>10213386618.79/1000</f>
        <v>10213386.618790001</v>
      </c>
      <c r="C60" s="23">
        <f>9995831005.97/1000</f>
        <v>9995831.0059699994</v>
      </c>
      <c r="D60" s="43">
        <f t="shared" si="0"/>
        <v>97.869897410720213</v>
      </c>
      <c r="E60" s="23">
        <f>10646309935.24/1000</f>
        <v>10646309.93524</v>
      </c>
      <c r="F60" s="23">
        <f>10305944479.28/1000</f>
        <v>10305944.479280001</v>
      </c>
      <c r="G60" s="24"/>
      <c r="H60" s="15">
        <f t="shared" si="1"/>
        <v>96.802972503802778</v>
      </c>
      <c r="I60" s="16">
        <f t="shared" si="2"/>
        <v>310113.47331000119</v>
      </c>
      <c r="J60" s="17">
        <f t="shared" si="3"/>
        <v>103.10242813353673</v>
      </c>
    </row>
    <row r="61" spans="1:10" s="25" customFormat="1">
      <c r="A61" s="28" t="s">
        <v>56</v>
      </c>
      <c r="B61" s="23">
        <f>4817541496.46/1000</f>
        <v>4817541.4964600001</v>
      </c>
      <c r="C61" s="23">
        <f>4623554985.96/1000</f>
        <v>4623554.9859600002</v>
      </c>
      <c r="D61" s="43">
        <f t="shared" si="0"/>
        <v>95.97332974417462</v>
      </c>
      <c r="E61" s="23">
        <f>4917841536.2/1000</f>
        <v>4917841.5362</v>
      </c>
      <c r="F61" s="23">
        <f>4770550857.33/1000</f>
        <v>4770550.85733</v>
      </c>
      <c r="G61" s="24"/>
      <c r="H61" s="15">
        <f t="shared" si="1"/>
        <v>97.004973060115901</v>
      </c>
      <c r="I61" s="16">
        <f t="shared" si="2"/>
        <v>146995.87136999983</v>
      </c>
      <c r="J61" s="17">
        <f t="shared" si="3"/>
        <v>103.17928243129737</v>
      </c>
    </row>
    <row r="62" spans="1:10" s="25" customFormat="1">
      <c r="A62" s="28" t="s">
        <v>57</v>
      </c>
      <c r="B62" s="23">
        <f>4565359993.71/1000</f>
        <v>4565359.9937100001</v>
      </c>
      <c r="C62" s="23">
        <f>4556047133.07/1000</f>
        <v>4556047.1330699995</v>
      </c>
      <c r="D62" s="43">
        <f t="shared" si="0"/>
        <v>99.796010376994772</v>
      </c>
      <c r="E62" s="23">
        <f>4832270418.5/1000</f>
        <v>4832270.4184999997</v>
      </c>
      <c r="F62" s="23">
        <f>4649476324.44/1000</f>
        <v>4649476.3244399996</v>
      </c>
      <c r="G62" s="24"/>
      <c r="H62" s="15">
        <f t="shared" si="1"/>
        <v>96.21722134257665</v>
      </c>
      <c r="I62" s="16">
        <f t="shared" si="2"/>
        <v>93429.191370000131</v>
      </c>
      <c r="J62" s="17">
        <f t="shared" si="3"/>
        <v>102.05066340714181</v>
      </c>
    </row>
    <row r="63" spans="1:10" s="25" customFormat="1">
      <c r="A63" s="28" t="s">
        <v>58</v>
      </c>
      <c r="B63" s="23">
        <f>601855616.3/1000</f>
        <v>601855.61629999999</v>
      </c>
      <c r="C63" s="23">
        <f>590298001.29/1000</f>
        <v>590298.00128999993</v>
      </c>
      <c r="D63" s="43">
        <f t="shared" si="0"/>
        <v>98.079669824956966</v>
      </c>
      <c r="E63" s="23">
        <f>633705354/1000</f>
        <v>633705.35400000005</v>
      </c>
      <c r="F63" s="23">
        <f>628367993.99/1000</f>
        <v>628367.99398999999</v>
      </c>
      <c r="G63" s="24"/>
      <c r="H63" s="15">
        <f t="shared" si="1"/>
        <v>99.157753682163147</v>
      </c>
      <c r="I63" s="16">
        <f t="shared" si="2"/>
        <v>38069.992700000061</v>
      </c>
      <c r="J63" s="17">
        <f t="shared" si="3"/>
        <v>106.44928368668101</v>
      </c>
    </row>
    <row r="64" spans="1:10" s="25" customFormat="1" ht="36.75">
      <c r="A64" s="28" t="s">
        <v>59</v>
      </c>
      <c r="B64" s="23">
        <f>462000/1000</f>
        <v>462</v>
      </c>
      <c r="C64" s="23">
        <f>462000/1000</f>
        <v>462</v>
      </c>
      <c r="D64" s="43">
        <f t="shared" si="0"/>
        <v>100</v>
      </c>
      <c r="E64" s="23">
        <f>700000/1000</f>
        <v>700</v>
      </c>
      <c r="F64" s="23">
        <f>700000/1000</f>
        <v>700</v>
      </c>
      <c r="G64" s="24"/>
      <c r="H64" s="15">
        <f t="shared" si="1"/>
        <v>100</v>
      </c>
      <c r="I64" s="16">
        <f t="shared" si="2"/>
        <v>238</v>
      </c>
      <c r="J64" s="17">
        <f t="shared" si="3"/>
        <v>151.5151515151515</v>
      </c>
    </row>
    <row r="65" spans="1:10" s="25" customFormat="1">
      <c r="A65" s="28" t="s">
        <v>60</v>
      </c>
      <c r="B65" s="23">
        <f>142399718.52/1000</f>
        <v>142399.71852000002</v>
      </c>
      <c r="C65" s="23">
        <f>140806589.91/1000</f>
        <v>140806.58991000001</v>
      </c>
      <c r="D65" s="43">
        <f t="shared" si="0"/>
        <v>98.881227697246985</v>
      </c>
      <c r="E65" s="23">
        <f>152440283.58/1000</f>
        <v>152440.28358000002</v>
      </c>
      <c r="F65" s="23">
        <f>148914419.89/1000</f>
        <v>148914.41988999999</v>
      </c>
      <c r="G65" s="24"/>
      <c r="H65" s="15">
        <f t="shared" si="1"/>
        <v>97.687052524964855</v>
      </c>
      <c r="I65" s="16">
        <f t="shared" si="2"/>
        <v>8107.8299799999804</v>
      </c>
      <c r="J65" s="17">
        <f t="shared" si="3"/>
        <v>105.75813247461095</v>
      </c>
    </row>
    <row r="66" spans="1:10" s="25" customFormat="1">
      <c r="A66" s="28" t="s">
        <v>61</v>
      </c>
      <c r="B66" s="23">
        <f>85767793.8/1000</f>
        <v>85767.793799999999</v>
      </c>
      <c r="C66" s="23">
        <f>84662295.74/1000</f>
        <v>84662.295740000001</v>
      </c>
      <c r="D66" s="43">
        <f t="shared" si="0"/>
        <v>98.711056900241729</v>
      </c>
      <c r="E66" s="23">
        <f>109352342.96/1000</f>
        <v>109352.34295999999</v>
      </c>
      <c r="F66" s="23">
        <f>107934883.63/1000</f>
        <v>107934.88363</v>
      </c>
      <c r="G66" s="24"/>
      <c r="H66" s="15">
        <f t="shared" si="1"/>
        <v>98.703768669576206</v>
      </c>
      <c r="I66" s="16">
        <f t="shared" si="2"/>
        <v>23272.587889999995</v>
      </c>
      <c r="J66" s="17">
        <f t="shared" si="3"/>
        <v>127.48872764030719</v>
      </c>
    </row>
    <row r="67" spans="1:10" s="25" customFormat="1">
      <c r="A67" s="28" t="s">
        <v>62</v>
      </c>
      <c r="B67" s="23">
        <f>572302425.05/1000</f>
        <v>572302.42504999996</v>
      </c>
      <c r="C67" s="23">
        <f>501138252.56/1000</f>
        <v>501138.25255999999</v>
      </c>
      <c r="D67" s="43">
        <f t="shared" si="0"/>
        <v>87.565285524732388</v>
      </c>
      <c r="E67" s="23">
        <f>574936547.81/1000</f>
        <v>574936.5478099999</v>
      </c>
      <c r="F67" s="23">
        <f>517661954.99/1000</f>
        <v>517661.95499</v>
      </c>
      <c r="G67" s="24"/>
      <c r="H67" s="15">
        <f t="shared" si="1"/>
        <v>90.038101936958867</v>
      </c>
      <c r="I67" s="16">
        <f t="shared" si="2"/>
        <v>16523.702430000005</v>
      </c>
      <c r="J67" s="17">
        <f t="shared" si="3"/>
        <v>103.29723431519962</v>
      </c>
    </row>
    <row r="68" spans="1:10" s="25" customFormat="1">
      <c r="A68" s="28" t="s">
        <v>63</v>
      </c>
      <c r="B68" s="23">
        <f>544141625.05/1000</f>
        <v>544141.62504999992</v>
      </c>
      <c r="C68" s="23">
        <f>472977452.56/1000</f>
        <v>472977.45256000001</v>
      </c>
      <c r="D68" s="43">
        <f t="shared" si="0"/>
        <v>86.921755437573665</v>
      </c>
      <c r="E68" s="23">
        <f>544806047.81/1000</f>
        <v>544806.0478099999</v>
      </c>
      <c r="F68" s="23">
        <f>487531454.99/1000</f>
        <v>487531.45499</v>
      </c>
      <c r="G68" s="24"/>
      <c r="H68" s="15">
        <f t="shared" si="1"/>
        <v>89.487159136681555</v>
      </c>
      <c r="I68" s="16">
        <f t="shared" si="2"/>
        <v>14554.002429999993</v>
      </c>
      <c r="J68" s="17">
        <f t="shared" si="3"/>
        <v>103.07710279871189</v>
      </c>
    </row>
    <row r="69" spans="1:10" s="25" customFormat="1" ht="36.75">
      <c r="A69" s="28" t="s">
        <v>64</v>
      </c>
      <c r="B69" s="23">
        <f>28160800/1000</f>
        <v>28160.799999999999</v>
      </c>
      <c r="C69" s="23">
        <f>28160800/1000</f>
        <v>28160.799999999999</v>
      </c>
      <c r="D69" s="43">
        <f t="shared" si="0"/>
        <v>100</v>
      </c>
      <c r="E69" s="23">
        <f>30130500/1000</f>
        <v>30130.5</v>
      </c>
      <c r="F69" s="23">
        <f>30130500/1000</f>
        <v>30130.5</v>
      </c>
      <c r="G69" s="24"/>
      <c r="H69" s="15">
        <f t="shared" si="1"/>
        <v>100</v>
      </c>
      <c r="I69" s="16">
        <f t="shared" si="2"/>
        <v>1969.7000000000007</v>
      </c>
      <c r="J69" s="17">
        <f t="shared" si="3"/>
        <v>106.9944745887901</v>
      </c>
    </row>
    <row r="70" spans="1:10" s="25" customFormat="1">
      <c r="A70" s="28" t="s">
        <v>65</v>
      </c>
      <c r="B70" s="23">
        <f>790814206.37/1000</f>
        <v>790814.20637000003</v>
      </c>
      <c r="C70" s="23">
        <f>749715531.82/1000</f>
        <v>749715.53182000003</v>
      </c>
      <c r="D70" s="43">
        <f t="shared" si="0"/>
        <v>94.802992381908354</v>
      </c>
      <c r="E70" s="23">
        <f>546169999.7/1000</f>
        <v>546169.99970000004</v>
      </c>
      <c r="F70" s="23">
        <f>437465094.45/1000</f>
        <v>437465.09444999998</v>
      </c>
      <c r="G70" s="24"/>
      <c r="H70" s="15">
        <f t="shared" si="1"/>
        <v>80.096873627312121</v>
      </c>
      <c r="I70" s="16">
        <f t="shared" si="2"/>
        <v>-312250.43737000006</v>
      </c>
      <c r="J70" s="17">
        <f t="shared" si="3"/>
        <v>58.350811192081778</v>
      </c>
    </row>
    <row r="71" spans="1:10" s="25" customFormat="1">
      <c r="A71" s="28" t="s">
        <v>66</v>
      </c>
      <c r="B71" s="23">
        <f>71427195.04/1000</f>
        <v>71427.195040000006</v>
      </c>
      <c r="C71" s="23">
        <f>71280862.04/1000</f>
        <v>71280.862040000007</v>
      </c>
      <c r="D71" s="43">
        <f t="shared" si="0"/>
        <v>99.795129852266982</v>
      </c>
      <c r="E71" s="23">
        <f>77483495.02/1000</f>
        <v>77483.495020000002</v>
      </c>
      <c r="F71" s="23">
        <f>76921048.99/1000</f>
        <v>76921.048989999996</v>
      </c>
      <c r="G71" s="24"/>
      <c r="H71" s="15">
        <f t="shared" si="1"/>
        <v>99.274108595830853</v>
      </c>
      <c r="I71" s="16">
        <f t="shared" si="2"/>
        <v>5640.1869499999884</v>
      </c>
      <c r="J71" s="17">
        <f t="shared" si="3"/>
        <v>107.91262449496604</v>
      </c>
    </row>
    <row r="72" spans="1:10" s="25" customFormat="1">
      <c r="A72" s="28" t="s">
        <v>67</v>
      </c>
      <c r="B72" s="23">
        <f>59547170.92/1000</f>
        <v>59547.170920000004</v>
      </c>
      <c r="C72" s="23">
        <f>59547170.92/1000</f>
        <v>59547.170920000004</v>
      </c>
      <c r="D72" s="43">
        <f t="shared" si="0"/>
        <v>100</v>
      </c>
      <c r="E72" s="23">
        <v>0</v>
      </c>
      <c r="F72" s="23">
        <v>0</v>
      </c>
      <c r="G72" s="24"/>
      <c r="H72" s="15">
        <v>0</v>
      </c>
      <c r="I72" s="16">
        <f t="shared" si="2"/>
        <v>-59547.170920000004</v>
      </c>
      <c r="J72" s="17">
        <f t="shared" si="3"/>
        <v>0</v>
      </c>
    </row>
    <row r="73" spans="1:10" s="25" customFormat="1">
      <c r="A73" s="28" t="s">
        <v>68</v>
      </c>
      <c r="B73" s="23">
        <f>388792137.32/1000</f>
        <v>388792.13731999998</v>
      </c>
      <c r="C73" s="23">
        <f>376273472.8/1000</f>
        <v>376273.47279999999</v>
      </c>
      <c r="D73" s="43">
        <f t="shared" si="0"/>
        <v>96.780113763026961</v>
      </c>
      <c r="E73" s="23">
        <f>156011368.82/1000</f>
        <v>156011.36882</v>
      </c>
      <c r="F73" s="23">
        <f>150875495.08/1000</f>
        <v>150875.49508000002</v>
      </c>
      <c r="G73" s="24"/>
      <c r="H73" s="15">
        <f t="shared" si="1"/>
        <v>96.708013153883968</v>
      </c>
      <c r="I73" s="16">
        <f t="shared" si="2"/>
        <v>-225397.97771999997</v>
      </c>
      <c r="J73" s="17">
        <f t="shared" si="3"/>
        <v>40.097297839594084</v>
      </c>
    </row>
    <row r="74" spans="1:10" s="25" customFormat="1">
      <c r="A74" s="28" t="s">
        <v>69</v>
      </c>
      <c r="B74" s="23">
        <f>197700378.95/1000</f>
        <v>197700.37894999998</v>
      </c>
      <c r="C74" s="23">
        <f>172123675.93/1000</f>
        <v>172123.67593</v>
      </c>
      <c r="D74" s="43">
        <f t="shared" ref="D74:D91" si="4">C74/B74*100</f>
        <v>87.062896310143884</v>
      </c>
      <c r="E74" s="23">
        <f>258852500/1000</f>
        <v>258852.5</v>
      </c>
      <c r="F74" s="23">
        <f>155908357.05/1000</f>
        <v>155908.35705000002</v>
      </c>
      <c r="G74" s="24"/>
      <c r="H74" s="15">
        <f t="shared" si="1"/>
        <v>60.230578051206777</v>
      </c>
      <c r="I74" s="16">
        <f t="shared" ref="I74:I91" si="5">F74-C74</f>
        <v>-16215.318879999977</v>
      </c>
      <c r="J74" s="17">
        <f t="shared" si="3"/>
        <v>90.579262967521984</v>
      </c>
    </row>
    <row r="75" spans="1:10" s="25" customFormat="1">
      <c r="A75" s="28" t="s">
        <v>70</v>
      </c>
      <c r="B75" s="23">
        <f>73347324.14/1000</f>
        <v>73347.324139999997</v>
      </c>
      <c r="C75" s="23">
        <f>70490350.13/1000</f>
        <v>70490.350129999992</v>
      </c>
      <c r="D75" s="43">
        <f t="shared" si="4"/>
        <v>96.104869477519287</v>
      </c>
      <c r="E75" s="23">
        <f>53822635.86/1000</f>
        <v>53822.635860000002</v>
      </c>
      <c r="F75" s="23">
        <f>53760193.33/1000</f>
        <v>53760.193329999995</v>
      </c>
      <c r="G75" s="24"/>
      <c r="H75" s="15">
        <f t="shared" ref="H75:H91" si="6">F75/E75*100</f>
        <v>99.883984630254034</v>
      </c>
      <c r="I75" s="16">
        <f t="shared" si="5"/>
        <v>-16730.156799999997</v>
      </c>
      <c r="J75" s="17">
        <f t="shared" ref="J75:J91" si="7">F75/C75*100</f>
        <v>76.266032486509374</v>
      </c>
    </row>
    <row r="76" spans="1:10" s="25" customFormat="1">
      <c r="A76" s="28" t="s">
        <v>71</v>
      </c>
      <c r="B76" s="23">
        <f>447554131.56/1000</f>
        <v>447554.13156000001</v>
      </c>
      <c r="C76" s="23">
        <f>427287768.24/1000</f>
        <v>427287.76824</v>
      </c>
      <c r="D76" s="43">
        <f t="shared" si="4"/>
        <v>95.471751484148001</v>
      </c>
      <c r="E76" s="23">
        <f>388245813.24/1000</f>
        <v>388245.81323999999</v>
      </c>
      <c r="F76" s="23">
        <f>331985987.71/1000</f>
        <v>331985.98770999996</v>
      </c>
      <c r="G76" s="24"/>
      <c r="H76" s="15">
        <f t="shared" si="6"/>
        <v>85.509225441351461</v>
      </c>
      <c r="I76" s="16">
        <f t="shared" si="5"/>
        <v>-95301.780530000047</v>
      </c>
      <c r="J76" s="17">
        <f t="shared" si="7"/>
        <v>77.696113108374604</v>
      </c>
    </row>
    <row r="77" spans="1:10" s="25" customFormat="1">
      <c r="A77" s="28" t="s">
        <v>72</v>
      </c>
      <c r="B77" s="23">
        <f>349131584.16/1000</f>
        <v>349131.58416000003</v>
      </c>
      <c r="C77" s="23">
        <f>332788033.06/1000</f>
        <v>332788.03305999999</v>
      </c>
      <c r="D77" s="43">
        <f t="shared" si="4"/>
        <v>95.318799031224259</v>
      </c>
      <c r="E77" s="23">
        <f>355987925.65/1000</f>
        <v>355987.92564999999</v>
      </c>
      <c r="F77" s="23">
        <f>306516061.22/1000</f>
        <v>306516.06122000003</v>
      </c>
      <c r="G77" s="24"/>
      <c r="H77" s="15">
        <f t="shared" si="6"/>
        <v>86.102937525291324</v>
      </c>
      <c r="I77" s="16">
        <f t="shared" si="5"/>
        <v>-26271.971839999955</v>
      </c>
      <c r="J77" s="17">
        <f t="shared" si="7"/>
        <v>92.105493818864801</v>
      </c>
    </row>
    <row r="78" spans="1:10" s="25" customFormat="1">
      <c r="A78" s="28" t="s">
        <v>73</v>
      </c>
      <c r="B78" s="23">
        <f>82548237/1000</f>
        <v>82548.236999999994</v>
      </c>
      <c r="C78" s="23">
        <f>80773077.5/1000</f>
        <v>80773.077499999999</v>
      </c>
      <c r="D78" s="43">
        <f t="shared" si="4"/>
        <v>97.849548864380964</v>
      </c>
      <c r="E78" s="23">
        <f>13153960.6/1000</f>
        <v>13153.9606</v>
      </c>
      <c r="F78" s="23">
        <f>13153960.6/1000</f>
        <v>13153.9606</v>
      </c>
      <c r="G78" s="24"/>
      <c r="H78" s="15">
        <f t="shared" si="6"/>
        <v>100</v>
      </c>
      <c r="I78" s="16">
        <f t="shared" si="5"/>
        <v>-67619.116899999994</v>
      </c>
      <c r="J78" s="17">
        <f t="shared" si="7"/>
        <v>16.285080384612062</v>
      </c>
    </row>
    <row r="79" spans="1:10" s="25" customFormat="1" ht="36.75">
      <c r="A79" s="28" t="s">
        <v>74</v>
      </c>
      <c r="B79" s="23">
        <f>15874310.4/1000</f>
        <v>15874.3104</v>
      </c>
      <c r="C79" s="23">
        <f>13726657.68/1000</f>
        <v>13726.65768</v>
      </c>
      <c r="D79" s="43">
        <f t="shared" si="4"/>
        <v>86.470891233171301</v>
      </c>
      <c r="E79" s="23">
        <f>19103926.99/1000</f>
        <v>19103.92699</v>
      </c>
      <c r="F79" s="23">
        <f>12315965.89/1000</f>
        <v>12315.965890000001</v>
      </c>
      <c r="G79" s="24"/>
      <c r="H79" s="15">
        <f t="shared" si="6"/>
        <v>64.468242034461426</v>
      </c>
      <c r="I79" s="16">
        <f t="shared" si="5"/>
        <v>-1410.6917899999989</v>
      </c>
      <c r="J79" s="17">
        <f t="shared" si="7"/>
        <v>89.722976831749776</v>
      </c>
    </row>
    <row r="80" spans="1:10" s="25" customFormat="1">
      <c r="A80" s="28" t="s">
        <v>75</v>
      </c>
      <c r="B80" s="23">
        <f>55725575.73/1000</f>
        <v>55725.575729999997</v>
      </c>
      <c r="C80" s="23">
        <f>54673051.69/1000</f>
        <v>54673.05169</v>
      </c>
      <c r="D80" s="43">
        <f t="shared" si="4"/>
        <v>98.111237028577946</v>
      </c>
      <c r="E80" s="23">
        <f>59538040/1000</f>
        <v>59538.04</v>
      </c>
      <c r="F80" s="23">
        <f>58102604.36/1000</f>
        <v>58102.604359999998</v>
      </c>
      <c r="G80" s="24"/>
      <c r="H80" s="15">
        <f t="shared" si="6"/>
        <v>97.589044516749297</v>
      </c>
      <c r="I80" s="16">
        <f t="shared" si="5"/>
        <v>3429.5526699999973</v>
      </c>
      <c r="J80" s="17">
        <f t="shared" si="7"/>
        <v>106.27283929465983</v>
      </c>
    </row>
    <row r="81" spans="1:10" s="25" customFormat="1">
      <c r="A81" s="28" t="s">
        <v>100</v>
      </c>
      <c r="B81" s="23">
        <v>0</v>
      </c>
      <c r="C81" s="23">
        <v>0</v>
      </c>
      <c r="D81" s="43">
        <v>0</v>
      </c>
      <c r="E81" s="23">
        <f>3030000/1000</f>
        <v>3030</v>
      </c>
      <c r="F81" s="23">
        <f>3030000/1000</f>
        <v>3030</v>
      </c>
      <c r="G81" s="24"/>
      <c r="H81" s="15">
        <f t="shared" si="6"/>
        <v>100</v>
      </c>
      <c r="I81" s="16">
        <f t="shared" ref="I81" si="8">F81-C81</f>
        <v>3030</v>
      </c>
      <c r="J81" s="17">
        <v>0</v>
      </c>
    </row>
    <row r="82" spans="1:10" s="25" customFormat="1">
      <c r="A82" s="28" t="s">
        <v>76</v>
      </c>
      <c r="B82" s="23">
        <f>55725575.73/1000</f>
        <v>55725.575729999997</v>
      </c>
      <c r="C82" s="23">
        <f>54673051.69/1000</f>
        <v>54673.05169</v>
      </c>
      <c r="D82" s="43">
        <f t="shared" si="4"/>
        <v>98.111237028577946</v>
      </c>
      <c r="E82" s="23">
        <f>56508040/1000</f>
        <v>56508.04</v>
      </c>
      <c r="F82" s="23">
        <f>55072604.36/1000</f>
        <v>55072.604359999998</v>
      </c>
      <c r="G82" s="24"/>
      <c r="H82" s="15">
        <f t="shared" si="6"/>
        <v>97.459767424246166</v>
      </c>
      <c r="I82" s="16">
        <f t="shared" si="5"/>
        <v>399.55266999999731</v>
      </c>
      <c r="J82" s="17">
        <f t="shared" si="7"/>
        <v>100.73080367319807</v>
      </c>
    </row>
    <row r="83" spans="1:10" s="25" customFormat="1" ht="36.75">
      <c r="A83" s="28" t="s">
        <v>77</v>
      </c>
      <c r="B83" s="23">
        <f>2469018.75/1000</f>
        <v>2469.0187500000002</v>
      </c>
      <c r="C83" s="23">
        <f>1574470.61/1000</f>
        <v>1574.4706100000001</v>
      </c>
      <c r="D83" s="43">
        <f t="shared" si="4"/>
        <v>63.769082758079499</v>
      </c>
      <c r="E83" s="23">
        <f>2882411.95/1000</f>
        <v>2882.4119500000002</v>
      </c>
      <c r="F83" s="23">
        <f>2803433.58/1000</f>
        <v>2803.4335799999999</v>
      </c>
      <c r="G83" s="24"/>
      <c r="H83" s="15">
        <f t="shared" si="6"/>
        <v>97.259990196751716</v>
      </c>
      <c r="I83" s="16">
        <f t="shared" si="5"/>
        <v>1228.9629699999998</v>
      </c>
      <c r="J83" s="17">
        <f t="shared" si="7"/>
        <v>178.05563102889548</v>
      </c>
    </row>
    <row r="84" spans="1:10" s="25" customFormat="1" ht="36.75">
      <c r="A84" s="28" t="s">
        <v>78</v>
      </c>
      <c r="B84" s="23">
        <f>2469018.75/1000</f>
        <v>2469.0187500000002</v>
      </c>
      <c r="C84" s="23">
        <f>1574470.61/1000</f>
        <v>1574.4706100000001</v>
      </c>
      <c r="D84" s="43">
        <f t="shared" si="4"/>
        <v>63.769082758079499</v>
      </c>
      <c r="E84" s="23">
        <f>2882411.95/1000</f>
        <v>2882.4119500000002</v>
      </c>
      <c r="F84" s="23">
        <f>2803433.58/1000</f>
        <v>2803.4335799999999</v>
      </c>
      <c r="G84" s="24"/>
      <c r="H84" s="15">
        <f t="shared" si="6"/>
        <v>97.259990196751716</v>
      </c>
      <c r="I84" s="16">
        <f t="shared" si="5"/>
        <v>1228.9629699999998</v>
      </c>
      <c r="J84" s="17">
        <f t="shared" si="7"/>
        <v>178.05563102889548</v>
      </c>
    </row>
    <row r="85" spans="1:10" s="25" customFormat="1" ht="54.75">
      <c r="A85" s="28" t="s">
        <v>79</v>
      </c>
      <c r="B85" s="23">
        <f>13448340.97/1000</f>
        <v>13448.340970000001</v>
      </c>
      <c r="C85" s="23">
        <v>0</v>
      </c>
      <c r="D85" s="43">
        <f t="shared" si="4"/>
        <v>0</v>
      </c>
      <c r="E85" s="23">
        <f>1135668.1/1000</f>
        <v>1135.6681000000001</v>
      </c>
      <c r="F85" s="23">
        <v>0</v>
      </c>
      <c r="G85" s="24"/>
      <c r="H85" s="15">
        <f t="shared" si="6"/>
        <v>0</v>
      </c>
      <c r="I85" s="16">
        <f t="shared" si="5"/>
        <v>0</v>
      </c>
      <c r="J85" s="17">
        <v>0</v>
      </c>
    </row>
    <row r="86" spans="1:10" s="25" customFormat="1" ht="54.75">
      <c r="A86" s="28" t="s">
        <v>80</v>
      </c>
      <c r="B86" s="23">
        <v>0</v>
      </c>
      <c r="C86" s="23">
        <v>0</v>
      </c>
      <c r="D86" s="43">
        <v>0</v>
      </c>
      <c r="E86" s="23">
        <v>0</v>
      </c>
      <c r="F86" s="23">
        <v>0</v>
      </c>
      <c r="G86" s="24"/>
      <c r="H86" s="15">
        <v>0</v>
      </c>
      <c r="I86" s="16">
        <f t="shared" si="5"/>
        <v>0</v>
      </c>
      <c r="J86" s="17">
        <v>0</v>
      </c>
    </row>
    <row r="87" spans="1:10" s="25" customFormat="1" ht="36.75">
      <c r="A87" s="28" t="s">
        <v>81</v>
      </c>
      <c r="B87" s="23">
        <f>13448340.97/1000</f>
        <v>13448.340970000001</v>
      </c>
      <c r="C87" s="23">
        <v>0</v>
      </c>
      <c r="D87" s="43">
        <f t="shared" si="4"/>
        <v>0</v>
      </c>
      <c r="E87" s="23">
        <f>1135668.1/1000</f>
        <v>1135.6681000000001</v>
      </c>
      <c r="F87" s="23">
        <v>0</v>
      </c>
      <c r="G87" s="24"/>
      <c r="H87" s="15">
        <f t="shared" si="6"/>
        <v>0</v>
      </c>
      <c r="I87" s="16">
        <f t="shared" si="5"/>
        <v>0</v>
      </c>
      <c r="J87" s="17">
        <v>0</v>
      </c>
    </row>
    <row r="88" spans="1:10" s="25" customFormat="1">
      <c r="A88" s="29" t="s">
        <v>82</v>
      </c>
      <c r="B88" s="30">
        <f>-1081592006.94/1000</f>
        <v>-1081592.00694</v>
      </c>
      <c r="C88" s="30">
        <f>42599858.37/1000</f>
        <v>42599.858369999994</v>
      </c>
      <c r="D88" s="43">
        <f t="shared" si="4"/>
        <v>-3.9386254795393629</v>
      </c>
      <c r="E88" s="30">
        <f>-887693026.06/1000</f>
        <v>-887693.02605999995</v>
      </c>
      <c r="F88" s="30">
        <f>464779981.01/1000</f>
        <v>464779.98100999999</v>
      </c>
      <c r="G88" s="24"/>
      <c r="H88" s="15">
        <f t="shared" si="6"/>
        <v>-52.358187725424933</v>
      </c>
      <c r="I88" s="16">
        <f t="shared" si="5"/>
        <v>422180.12264000002</v>
      </c>
      <c r="J88" s="17">
        <f t="shared" si="7"/>
        <v>1091.0364465843177</v>
      </c>
    </row>
    <row r="89" spans="1:10">
      <c r="A89" s="31" t="s">
        <v>83</v>
      </c>
      <c r="B89" s="13">
        <f>1081592006.94/1000</f>
        <v>1081592.00694</v>
      </c>
      <c r="C89" s="13">
        <f>-42599858.37/1000</f>
        <v>-42599.858369999994</v>
      </c>
      <c r="D89" s="43">
        <f t="shared" si="4"/>
        <v>-3.9386254795393629</v>
      </c>
      <c r="E89" s="13">
        <f>887693026.06/1000</f>
        <v>887693.02605999995</v>
      </c>
      <c r="F89" s="13">
        <f>-464779981.01/1000</f>
        <v>-464779.98100999999</v>
      </c>
      <c r="G89" s="32"/>
      <c r="H89" s="15">
        <f t="shared" si="6"/>
        <v>-52.358187725424933</v>
      </c>
      <c r="I89" s="16">
        <f t="shared" si="5"/>
        <v>-422180.12264000002</v>
      </c>
      <c r="J89" s="17">
        <f t="shared" si="7"/>
        <v>1091.0364465843177</v>
      </c>
    </row>
    <row r="90" spans="1:10">
      <c r="A90" s="33" t="s">
        <v>84</v>
      </c>
      <c r="B90" s="19"/>
      <c r="C90" s="19"/>
      <c r="D90" s="44"/>
      <c r="E90" s="19"/>
      <c r="F90" s="19"/>
      <c r="G90" s="32"/>
      <c r="H90" s="15" t="s">
        <v>95</v>
      </c>
      <c r="I90" s="16" t="s">
        <v>95</v>
      </c>
      <c r="J90" s="17" t="s">
        <v>95</v>
      </c>
    </row>
    <row r="91" spans="1:10">
      <c r="A91" s="34" t="s">
        <v>85</v>
      </c>
      <c r="B91" s="21">
        <f>226272858/1000</f>
        <v>226272.85800000001</v>
      </c>
      <c r="C91" s="21">
        <f>124905858/1000</f>
        <v>124905.85799999999</v>
      </c>
      <c r="D91" s="43">
        <f t="shared" si="4"/>
        <v>55.20143206924093</v>
      </c>
      <c r="E91" s="21">
        <f>-100058212/1000</f>
        <v>-100058.212</v>
      </c>
      <c r="F91" s="21">
        <f>-108494142/1000</f>
        <v>-108494.14200000001</v>
      </c>
      <c r="G91" s="32"/>
      <c r="H91" s="15">
        <f t="shared" si="6"/>
        <v>108.4310221333957</v>
      </c>
      <c r="I91" s="16">
        <f t="shared" si="5"/>
        <v>-233400</v>
      </c>
      <c r="J91" s="17">
        <f t="shared" si="7"/>
        <v>-86.860731543912067</v>
      </c>
    </row>
  </sheetData>
  <mergeCells count="8">
    <mergeCell ref="J4:J6"/>
    <mergeCell ref="A4:A6"/>
    <mergeCell ref="D5:D6"/>
    <mergeCell ref="A1:J3"/>
    <mergeCell ref="B4:D4"/>
    <mergeCell ref="E4:H4"/>
    <mergeCell ref="H5:H6"/>
    <mergeCell ref="I4:I6"/>
  </mergeCells>
  <pageMargins left="0.78749999999999998" right="0.3152778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71A793-A51F-445A-B547-6325289BFD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cp:lastPrinted>2019-10-28T14:40:08Z</cp:lastPrinted>
  <dcterms:created xsi:type="dcterms:W3CDTF">2019-10-28T07:22:02Z</dcterms:created>
  <dcterms:modified xsi:type="dcterms:W3CDTF">2020-03-11T13:43:33Z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SV_0503317G_20160101_2.xlsx</vt:lpwstr>
  </property>
  <property fmtid="{D5CDD505-2E9C-101B-9397-08002B2CF9AE}" pid="3" name="Название отчета">
    <vt:lpwstr>SV_0503317G_20160101_2.xlsx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используется</vt:lpwstr>
  </property>
</Properties>
</file>